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<sst xmlns="http://schemas.openxmlformats.org/spreadsheetml/2006/main" uniqueCount="1302">
  <si>
    <t xml:space="preserve">   ·   Прайс-лист «Ленты» · 21.09.2026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</si>
  <si>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</si>
  <si>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</si>
  <si>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</si>
  <si>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</si>
  <si>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</si>
  <si>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</si>
  <si>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21.09.2026 13:37</t>
  </si>
  <si>
    <t>Категория</t>
  </si>
  <si>
    <t>Ленты</t>
  </si>
  <si>
    <t>Источник</t>
  </si>
  <si>
    <t>https://www.test.lavrpack.ru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</si>
  <si>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</si>
  <si>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www.test.lavrpack.ru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</si>
  <si>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</si>
  <si>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</si>
  <si>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</si>
  <si>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</si>
  <si>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</si>
  <si>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</si>
  <si>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</si>
  <si>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Розница, с НДС</t>
  </si>
  <si>
    <t>Опт, с НДС</t>
  </si>
  <si>
    <t>В наличии</t>
  </si>
  <si>
    <t>Заказать</t>
  </si>
  <si>
    <t>Сумма</t>
  </si>
  <si>
    <t>Полипропилен — 135 поз.</t>
  </si>
  <si>
    <t>8ca2a692-bb0f-11ec-bc66-00e01a6800eb</t>
  </si>
  <si>
    <t>70314</t>
  </si>
  <si>
    <t>Лента</t>
  </si>
  <si>
    <t>белый</t>
  </si>
  <si>
    <t>простая 0,5см×500ярд</t>
  </si>
  <si>
    <t>https://www.test.lavrpack.ru/local/templates/phoenix_v1/images_cache/thumbs/aaa49224e55801eb8806b15d311a2223.webp?v=1789963868</t>
  </si>
  <si>
    <t>732cc0b2-bb1e-11ec-bc66-00e01a6800eb</t>
  </si>
  <si>
    <t>70345</t>
  </si>
  <si>
    <t>гвардейская</t>
  </si>
  <si>
    <t>https://www.test.lavrpack.ru/local/templates/phoenix_v1/images_cache/thumbs/2a5c301d9e81285dcffc4163e5b96c5c.webp?v=1789963866</t>
  </si>
  <si>
    <t>509e4b49-bb1c-11ec-bc66-00e01a6800eb</t>
  </si>
  <si>
    <t>70328</t>
  </si>
  <si>
    <t>желтый</t>
  </si>
  <si>
    <t>https://www.test.lavrpack.ru/local/templates/phoenix_v1/images_cache/thumbs/b6be36eabf2e388bcb5e9fc130ab25b5.webp?v=1789963864</t>
  </si>
  <si>
    <t>b3bd9629-bb1d-11ec-bc66-00e01a6800eb</t>
  </si>
  <si>
    <t>70338</t>
  </si>
  <si>
    <t>орхидея</t>
  </si>
  <si>
    <t>https://www.test.lavrpack.ru/local/templates/phoenix_v1/images_cache/thumbs/aa956add85721650663d713219cf5a69.webp?v=1789963870</t>
  </si>
  <si>
    <t>0aca731e-06db-11ee-90e0-00e01a6800eb</t>
  </si>
  <si>
    <t>102971</t>
  </si>
  <si>
    <t>зеленый</t>
  </si>
  <si>
    <t>https://www.test.lavrpack.ru/local/templates/phoenix_v1/images_cache/thumbs/8ab4478ab500ca647124fdc2865bea4f.webp?v=1789946141</t>
  </si>
  <si>
    <t>f3e0ec54-bb1c-11ec-bc66-00e01a6800eb</t>
  </si>
  <si>
    <t>70334</t>
  </si>
  <si>
    <t>серый</t>
  </si>
  <si>
    <t>https://www.test.lavrpack.ru/local/templates/phoenix_v1/images_cache/thumbs/b2da2bc8c4547025d13b20e02f99643a.webp?v=1789963873</t>
  </si>
  <si>
    <t>6e963e5c-bb1c-11ec-bc66-00e01a6800eb</t>
  </si>
  <si>
    <t>70329</t>
  </si>
  <si>
    <t>небесно-голубой</t>
  </si>
  <si>
    <t>https://www.test.lavrpack.ru/local/templates/phoenix_v1/images_cache/thumbs/91eed477d4763c943288c7e04a654af6.webp?v=1789963866</t>
  </si>
  <si>
    <t>9b927fc9-bb1c-11ec-bc66-00e01a6800eb</t>
  </si>
  <si>
    <t>70330</t>
  </si>
  <si>
    <t>желтый/зеленый</t>
  </si>
  <si>
    <t>https://www.test.lavrpack.ru/local/templates/phoenix_v1/images_cache/thumbs/25be6abf7364166c061b5b6c9b8982de.webp?v=1789963868</t>
  </si>
  <si>
    <t>88986f61-06da-11ee-90e0-00e01a6800eb</t>
  </si>
  <si>
    <t>102968</t>
  </si>
  <si>
    <t>бронза</t>
  </si>
  <si>
    <t>https://www.test.lavrpack.ru/local/templates/phoenix_v1/images_cache/thumbs/235728cad088e8f867a08314e2d0ed4e.webp?v=1789946143</t>
  </si>
  <si>
    <t>05b67ba1-bb1d-11ec-bc66-00e01a6800eb</t>
  </si>
  <si>
    <t>70335</t>
  </si>
  <si>
    <t>оранжевый</t>
  </si>
  <si>
    <t>https://www.test.lavrpack.ru/local/templates/phoenix_v1/images_cache/thumbs/d5fb75584119ebc3113f1ce89c4cbf31.webp?v=1789963856</t>
  </si>
  <si>
    <t>95525e18-06d8-11ee-90e0-00e01a6800eb</t>
  </si>
  <si>
    <t>102966</t>
  </si>
  <si>
    <t>вишня/лаванда</t>
  </si>
  <si>
    <t>https://www.test.lavrpack.ru/local/templates/phoenix_v1/images_cache/thumbs/9450658fe9932c961ff7e2e6dc75aeaf.webp?v=1789946144</t>
  </si>
  <si>
    <t>50e33eba-bb17-11ec-bc66-00e01a6800eb</t>
  </si>
  <si>
    <t>70322</t>
  </si>
  <si>
    <t>красный</t>
  </si>
  <si>
    <t>https://www.test.lavrpack.ru/local/templates/phoenix_v1/images_cache/thumbs/571414947c9342d321be8569de9a4dbc.webp?v=1789963864</t>
  </si>
  <si>
    <t>14c71a5e-bb19-11ec-bc66-00e01a6800eb</t>
  </si>
  <si>
    <t>70326</t>
  </si>
  <si>
    <t>брусника/алый</t>
  </si>
  <si>
    <t>https://www.test.lavrpack.ru/local/templates/phoenix_v1/images_cache/thumbs/a345ec8ccf3f55810ada91f8a3938785.webp?v=1789963857</t>
  </si>
  <si>
    <t>fedd8f98-bb0f-11ec-bc66-00e01a6800eb</t>
  </si>
  <si>
    <t>70317</t>
  </si>
  <si>
    <t>оливковый</t>
  </si>
  <si>
    <t>https://www.test.lavrpack.ru/local/templates/phoenix_v1/images_cache/thumbs/57bc8b126700f3e807fdafb95d31ee11.webp?v=1789963873</t>
  </si>
  <si>
    <t>1544d9cc-bb1d-11ec-bc66-00e01a6800eb</t>
  </si>
  <si>
    <t>70336</t>
  </si>
  <si>
    <t>лимонный</t>
  </si>
  <si>
    <t>https://www.test.lavrpack.ru/local/templates/phoenix_v1/images_cache/thumbs/23669ee7ef2b6574813d275304dd3371.webp?v=1789963857</t>
  </si>
  <si>
    <t>8a44caf6-532a-11ee-bc2f-00e01a6800eb</t>
  </si>
  <si>
    <t>104049</t>
  </si>
  <si>
    <t>красный/желтый</t>
  </si>
  <si>
    <t>https://www.test.lavrpack.ru/local/templates/phoenix_v1/images_cache/thumbs/779bb6341579229f21bb81269ee15e06.webp?v=1789963868</t>
  </si>
  <si>
    <t>68c6ca78-06da-11ee-90e0-00e01a6800eb</t>
  </si>
  <si>
    <t>102967</t>
  </si>
  <si>
    <t>фиолетовый</t>
  </si>
  <si>
    <t>https://www.test.lavrpack.ru/local/templates/phoenix_v1/images_cache/thumbs/02a8826d435a839e33d81d9077a6264b.webp?v=1789946143</t>
  </si>
  <si>
    <t>d4166b8b-bb1c-11ec-bc66-00e01a6800eb</t>
  </si>
  <si>
    <t>70332</t>
  </si>
  <si>
    <t>сиреневый</t>
  </si>
  <si>
    <t>https://www.test.lavrpack.ru/local/templates/phoenix_v1/images_cache/thumbs/600381b58330d764c71f231e6d821164.webp?v=1789963871</t>
  </si>
  <si>
    <t>3f389ca8-bb1c-11ec-bc66-00e01a6800eb</t>
  </si>
  <si>
    <t>70327</t>
  </si>
  <si>
    <t>травяной</t>
  </si>
  <si>
    <t>https://www.test.lavrpack.ru/local/templates/phoenix_v1/images_cache/thumbs/0a90df825fb589216c57d4026e98ecae.webp?v=1789963861</t>
  </si>
  <si>
    <t>c00ad2b4-bb1d-11ec-bc66-00e01a6800eb</t>
  </si>
  <si>
    <t>70339</t>
  </si>
  <si>
    <t>ярко-розовый</t>
  </si>
  <si>
    <t>https://www.test.lavrpack.ru/local/templates/phoenix_v1/images_cache/thumbs/23e20dd4215d1360e07960ab2a94c62d.webp?v=1789963870</t>
  </si>
  <si>
    <t>a6ad28c8-bb1d-11ec-bc66-00e01a6800eb</t>
  </si>
  <si>
    <t>70337</t>
  </si>
  <si>
    <t>брусничный</t>
  </si>
  <si>
    <t>https://www.test.lavrpack.ru/local/templates/phoenix_v1/images_cache/thumbs/cfb44ee092d11d4c104b5e1b0547bcb0.webp?v=1789963869</t>
  </si>
  <si>
    <t>3b83d38a-bb1e-11ec-bc66-00e01a6800eb</t>
  </si>
  <si>
    <t>70342</t>
  </si>
  <si>
    <t>вишневый</t>
  </si>
  <si>
    <t>https://www.test.lavrpack.ru/local/templates/phoenix_v1/images_cache/thumbs/d12fa84f2a2e5785e8e8e50aca6a4486.webp?v=1789963861</t>
  </si>
  <si>
    <t>66aa157c-bb17-11ec-bc66-00e01a6800eb</t>
  </si>
  <si>
    <t>70323</t>
  </si>
  <si>
    <t>розовый</t>
  </si>
  <si>
    <t>https://www.test.lavrpack.ru/local/templates/phoenix_v1/images_cache/thumbs/99a2ad282fa95897ebf6db8ab1087832.webp?v=1789963865</t>
  </si>
  <si>
    <t>ffe98a77-bb18-11ec-bc66-00e01a6800eb</t>
  </si>
  <si>
    <t>70325</t>
  </si>
  <si>
    <t>тиффани</t>
  </si>
  <si>
    <t>https://www.test.lavrpack.ru/local/templates/phoenix_v1/images_cache/thumbs/320d3b71eaa5b4d43fadefd48c643e5a.webp?v=1789963874</t>
  </si>
  <si>
    <t>755fd66d-bb17-11ec-bc66-00e01a6800eb</t>
  </si>
  <si>
    <t>70324</t>
  </si>
  <si>
    <t>синий</t>
  </si>
  <si>
    <t>https://www.test.lavrpack.ru/local/templates/phoenix_v1/images_cache/thumbs/10f42239a45606a96fb470a7acf0ab0c.webp?v=1789963867</t>
  </si>
  <si>
    <t>e2dbdede-bb0f-11ec-bc66-00e01a6800eb</t>
  </si>
  <si>
    <t>70316</t>
  </si>
  <si>
    <t>салатовый</t>
  </si>
  <si>
    <t>https://www.test.lavrpack.ru/local/templates/phoenix_v1/images_cache/thumbs/41a5b2688cda384d6d339c38039d0771.webp?v=1789963872</t>
  </si>
  <si>
    <t>e2930b76-bb1c-11ec-bc66-00e01a6800eb</t>
  </si>
  <si>
    <t>70333</t>
  </si>
  <si>
    <t>черный</t>
  </si>
  <si>
    <t>https://www.test.lavrpack.ru/local/templates/phoenix_v1/images_cache/thumbs/2989c21b5a904fedf213b3dc1858598f.webp?v=1789963872</t>
  </si>
  <si>
    <t>cc6d7ba1-bb1d-11ec-bc66-00e01a6800eb</t>
  </si>
  <si>
    <t>70340</t>
  </si>
  <si>
    <t>лаванда</t>
  </si>
  <si>
    <t>https://www.test.lavrpack.ru/local/templates/phoenix_v1/images_cache/thumbs/443846393696cc27099bf055154b5b66.webp?v=1789963870</t>
  </si>
  <si>
    <t>b6611eff-bb1c-11ec-bc66-00e01a6800eb</t>
  </si>
  <si>
    <t>70331</t>
  </si>
  <si>
    <t>шампань</t>
  </si>
  <si>
    <t>https://www.test.lavrpack.ru/local/templates/phoenix_v1/images_cache/thumbs/b29fe5b42020302ee5b3f5ffc1def33f.webp?v=1789963870</t>
  </si>
  <si>
    <t>1c548a2b-bb1f-11ec-bc66-00e01a6800eb</t>
  </si>
  <si>
    <t>70350</t>
  </si>
  <si>
    <t>Вечная память / серая</t>
  </si>
  <si>
    <t>простая 2см×50ярд</t>
  </si>
  <si>
    <t>https://www.test.lavrpack.ru/local/templates/phoenix_v1/images_cache/thumbs/eecf61f4b64f2fc7bb59b6c4ea93b313.webp?v=1789963858</t>
  </si>
  <si>
    <t>4a91aa3d-bb26-11ec-bc66-00e01a6800eb</t>
  </si>
  <si>
    <t>70370</t>
  </si>
  <si>
    <t>простая 3см×50ярд</t>
  </si>
  <si>
    <t>https://www.test.lavrpack.ru/local/templates/phoenix_v1/images_cache/thumbs/037a72aa3a604eb2d58f54c33df92cbe.webp?v=1789963863</t>
  </si>
  <si>
    <t>e947b47a-1511-11f0-ab40-22344d083d2c</t>
  </si>
  <si>
    <t>112128</t>
  </si>
  <si>
    <t>Россия</t>
  </si>
  <si>
    <t>Простая 3см×50ярд. Российский флаг</t>
  </si>
  <si>
    <t>https://www.test.lavrpack.ru/local/templates/phoenix_v1/images_cache/thumbs/94187063dff6720183a8fc7c10fd1266.webp?v=1789946144</t>
  </si>
  <si>
    <t>4604d9aa-1510-11f0-ab40-22344d083d2c</t>
  </si>
  <si>
    <t>112127</t>
  </si>
  <si>
    <t>простая 5см×50ярд</t>
  </si>
  <si>
    <t>https://www.test.lavrpack.ru/local/templates/phoenix_v1/images_cache/thumbs/36cc94144c938d901efa814d716749a1.webp?v=1789946142</t>
  </si>
  <si>
    <t>c9b1ef37-06db-11ee-90e0-00e01a6800eb</t>
  </si>
  <si>
    <t>102972</t>
  </si>
  <si>
    <t>Простая 5см×50ярд. Российский флаг</t>
  </si>
  <si>
    <t>https://www.test.lavrpack.ru/local/templates/phoenix_v1/images_cache/thumbs/ac8e3553e5bf83f7b1ca4d3b00ccdf03.webp?v=1789946144</t>
  </si>
  <si>
    <t>ee18e3be-3a1a-11f0-ab41-22344d083d2c#a72a8690-3a1b-11f0-ab41-22344d083d2c</t>
  </si>
  <si>
    <t>112919</t>
  </si>
  <si>
    <t>Лента простая</t>
  </si>
  <si>
    <t>Лаванда</t>
  </si>
  <si>
    <t>Гладкая без тиснения, 2см×50ярд</t>
  </si>
  <si>
    <t>https://www.test.lavrpack.ru/local/templates/phoenix_v1/images_cache/thumbs/d5674c227b282c093477934783c49c0c.webp?v=1789946167</t>
  </si>
  <si>
    <t>ee18e3be-3a1a-11f0-ab41-22344d083d2c#fefdab02-3a1a-11f0-ab41-22344d083d2c</t>
  </si>
  <si>
    <t>Белый</t>
  </si>
  <si>
    <t>ee18e3be-3a1a-11f0-ab41-22344d083d2c#ab845e2a-3a1c-11f0-ab41-22344d083d2c</t>
  </si>
  <si>
    <t>Ярко-розовый</t>
  </si>
  <si>
    <t>ee18e3be-3a1a-11f0-ab41-22344d083d2c#f8d5cace-3a1b-11f0-ab41-22344d083d2c</t>
  </si>
  <si>
    <t>Оливковый</t>
  </si>
  <si>
    <t>ee18e3be-3a1a-11f0-ab41-22344d083d2c#92ee0368-3a1c-11f0-ab41-22344d083d2c</t>
  </si>
  <si>
    <t>Черный</t>
  </si>
  <si>
    <t>ee18e3be-3a1a-11f0-ab41-22344d083d2c#4474cecb-3a1b-11f0-ab41-22344d083d2c</t>
  </si>
  <si>
    <t>Вишневый</t>
  </si>
  <si>
    <t>ee18e3be-3a1a-11f0-ab41-22344d083d2c#1f55d183-3a1b-11f0-ab41-22344d083d2c</t>
  </si>
  <si>
    <t>Бронза</t>
  </si>
  <si>
    <t>ee18e3be-3a1a-11f0-ab41-22344d083d2c#be684623-3a1b-11f0-ab41-22344d083d2c</t>
  </si>
  <si>
    <t>Лимонный</t>
  </si>
  <si>
    <t>ee18e3be-3a1a-11f0-ab41-22344d083d2c#7522b308-3a1b-11f0-ab41-22344d083d2c</t>
  </si>
  <si>
    <t>Желтый/зеленый</t>
  </si>
  <si>
    <t>ee18e3be-3a1a-11f0-ab41-22344d083d2c#388e4d51-3a1c-11f0-ab41-22344d083d2c</t>
  </si>
  <si>
    <t>Розовый</t>
  </si>
  <si>
    <t>ee18e3be-3a1a-11f0-ab41-22344d083d2c#64edae61-3a1c-11f0-ab41-22344d083d2c</t>
  </si>
  <si>
    <t>Сирень</t>
  </si>
  <si>
    <t>ee18e3be-3a1a-11f0-ab41-22344d083d2c#650ad2c4-3a1b-11f0-ab41-22344d083d2c</t>
  </si>
  <si>
    <t>Желтый</t>
  </si>
  <si>
    <t>ee18e3be-3a1a-11f0-ab41-22344d083d2c#f886dad1-3a1c-11f0-ab41-22344d083d2c</t>
  </si>
  <si>
    <t>Красный</t>
  </si>
  <si>
    <t>ee18e3be-3a1a-11f0-ab41-22344d083d2c#6d2b5443-3a1c-11f0-ab41-22344d083d2c</t>
  </si>
  <si>
    <t>Тиффани</t>
  </si>
  <si>
    <t>ee18e3be-3a1a-11f0-ab41-22344d083d2c#7bf608af-3a1c-11f0-ab41-22344d083d2c</t>
  </si>
  <si>
    <t>Травяной</t>
  </si>
  <si>
    <t>ee18e3be-3a1a-11f0-ab41-22344d083d2c#50c2d3cc-3a1b-11f0-ab41-22344d083d2c</t>
  </si>
  <si>
    <t>Вишня/лаванда</t>
  </si>
  <si>
    <t>ee18e3be-3a1a-11f0-ab41-22344d083d2c#0f91e80b-3a1b-11f0-ab41-22344d083d2c</t>
  </si>
  <si>
    <t>Бирюзовый/синий</t>
  </si>
  <si>
    <t>ee18e3be-3a1a-11f0-ab41-22344d083d2c#36721243-3a1b-11f0-ab41-22344d083d2c</t>
  </si>
  <si>
    <t>Брусничный</t>
  </si>
  <si>
    <t>ee18e3be-3a1a-11f0-ab41-22344d083d2c#5cbbb28d-3a1c-11f0-ab41-22344d083d2c</t>
  </si>
  <si>
    <t>Синий</t>
  </si>
  <si>
    <t>ee18e3be-3a1a-11f0-ab41-22344d083d2c#ff43edf9-3a1b-11f0-ab41-22344d083d2c</t>
  </si>
  <si>
    <t>Оранжевый</t>
  </si>
  <si>
    <t>ee18e3be-3a1a-11f0-ab41-22344d083d2c#48bc240a-3a1c-11f0-ab41-22344d083d2c</t>
  </si>
  <si>
    <t>Салатовый</t>
  </si>
  <si>
    <t>ee18e3be-3a1a-11f0-ab41-22344d083d2c#da665564-3a1b-11f0-ab41-22344d083d2c</t>
  </si>
  <si>
    <t>Морская волна/голубой</t>
  </si>
  <si>
    <t>3f4fd121-3a1e-11f0-ab41-22344d083d2c#b930139d-3a1e-11f0-ab41-22344d083d2c</t>
  </si>
  <si>
    <t>112920</t>
  </si>
  <si>
    <t>Серый</t>
  </si>
  <si>
    <t>Гладкая без тиснения, 3см×50ярд</t>
  </si>
  <si>
    <t>https://www.test.lavrpack.ru/local/templates/phoenix_v1/images_cache/thumbs/2dfb19a643f0bec24659e2c177ca16ed.webp?v=1789946167</t>
  </si>
  <si>
    <t>3f4fd121-3a1e-11f0-ab41-22344d083d2c#62de325a-3a1e-11f0-ab41-22344d083d2c</t>
  </si>
  <si>
    <t>3f4fd121-3a1e-11f0-ab41-22344d083d2c#8a2dc67c-3a1e-11f0-ab41-22344d083d2c</t>
  </si>
  <si>
    <t>3f4fd121-3a1e-11f0-ab41-22344d083d2c#b07a4cfe-3a1e-11f0-ab41-22344d083d2c</t>
  </si>
  <si>
    <t>3f4fd121-3a1e-11f0-ab41-22344d083d2c#d5eb0e1f-3a1e-11f0-ab41-22344d083d2c</t>
  </si>
  <si>
    <t>3f4fd121-3a1e-11f0-ab41-22344d083d2c#5908c446-3a1e-11f0-ab41-22344d083d2c</t>
  </si>
  <si>
    <t>Голубой</t>
  </si>
  <si>
    <t>3f4fd121-3a1e-11f0-ab41-22344d083d2c#a0d34cfe-3a1e-11f0-ab41-22344d083d2c</t>
  </si>
  <si>
    <t>4ac2f62f-bbbd-11ec-bc66-00e01a6800eb</t>
  </si>
  <si>
    <t>70405</t>
  </si>
  <si>
    <t>красным по белому</t>
  </si>
  <si>
    <t>Гладкая с надписью, 2см×50ярд</t>
  </si>
  <si>
    <t>https://www.test.lavrpack.ru/local/templates/phoenix_v1/images_cache/thumbs/ce8e332d9a7f19c5784977c49322b57c.webp?v=1789963863</t>
  </si>
  <si>
    <t>d661b152-bbbb-11ec-bc66-00e01a6800eb</t>
  </si>
  <si>
    <t>70402</t>
  </si>
  <si>
    <t>красный на розовом</t>
  </si>
  <si>
    <t>Горошек, 2см×50ярд</t>
  </si>
  <si>
    <t>https://www.test.lavrpack.ru/local/templates/phoenix_v1/images_cache/thumbs/730d6d276159be3caad275997ecfae58.webp?v=1789963871</t>
  </si>
  <si>
    <t>88afee9a-5e1b-11f0-ab47-22344d083d2c</t>
  </si>
  <si>
    <t>113527</t>
  </si>
  <si>
    <t>красный на белом</t>
  </si>
  <si>
    <t>Сердца итальянские, 2см×50ярд</t>
  </si>
  <si>
    <t>ef9945db-bbbb-11ec-bc66-00e01a6800eb</t>
  </si>
  <si>
    <t>70403</t>
  </si>
  <si>
    <t>красные на белом</t>
  </si>
  <si>
    <t>Сердца Польские, 2см×50ярд</t>
  </si>
  <si>
    <t>https://www.test.lavrpack.ru/local/templates/phoenix_v1/images_cache/thumbs/d753cd3988a88b5902f172b82cd3db40.webp?v=1789963873</t>
  </si>
  <si>
    <t>dbc821e7-bb22-11ec-bc66-00e01a6800eb</t>
  </si>
  <si>
    <t>70356</t>
  </si>
  <si>
    <t>на белом</t>
  </si>
  <si>
    <t>Сердца Польские, 3см×50ярд</t>
  </si>
  <si>
    <t>https://www.test.lavrpack.ru/local/templates/phoenix_v1/images_cache/thumbs/e5c3b6fceb624c465d754a38175f99cc.webp?v=1789963872</t>
  </si>
  <si>
    <t>3e82bdd2-ef7a-11ef-ab3d-22344d083d2c</t>
  </si>
  <si>
    <t>111480</t>
  </si>
  <si>
    <t>ярко-розовая</t>
  </si>
  <si>
    <t>тиснение дерево 3см×50ярд</t>
  </si>
  <si>
    <t>https://www.test.lavrpack.ru/local/templates/phoenix_v1/images_cache/thumbs/8380822187772105a6e2e694fccfbe26.webp?v=1789946142</t>
  </si>
  <si>
    <t>1294861b-903c-11ee-a8ad-00e01a6800eb#d6cbb1e9-903d-11ee-a8ad-00e01a6800eb</t>
  </si>
  <si>
    <t>105207</t>
  </si>
  <si>
    <t>Серо-зеленый (L30)</t>
  </si>
  <si>
    <t>1,8см×50м,</t>
  </si>
  <si>
    <t>https://www.test.lavrpack.ru/local/templates/phoenix_v1/images_cache/thumbs/ac4d974af3981d132b45bf757c722c46.webp?v=1789911444</t>
  </si>
  <si>
    <t>1294861b-903c-11ee-a8ad-00e01a6800eb#a278d4cb-903c-11ee-a8ad-00e01a6800eb</t>
  </si>
  <si>
    <t>Персиковый (L12)</t>
  </si>
  <si>
    <t>https://www.test.lavrpack.ru/local/templates/phoenix_v1/images_cache/thumbs/24f35d87b387883c7ea70eeb98cb7343.webp?v=1789911444</t>
  </si>
  <si>
    <t>1294861b-903c-11ee-a8ad-00e01a6800eb#7fad778a-903c-11ee-a8ad-00e01a6800eb</t>
  </si>
  <si>
    <t>Голубой (L51)</t>
  </si>
  <si>
    <t>https://www.test.lavrpack.ru/local/templates/phoenix_v1/images_cache/thumbs/f55b9ff36eb5cded32cb24934521852e.webp?v=1789911444</t>
  </si>
  <si>
    <t>1294861b-903c-11ee-a8ad-00e01a6800eb#32427660-903c-11ee-a8ad-00e01a6800eb</t>
  </si>
  <si>
    <t>Черный (L70)</t>
  </si>
  <si>
    <t>https://www.test.lavrpack.ru/local/templates/phoenix_v1/images_cache/thumbs/d11d58457c9b9c6e975c2e952ba0a5b8.webp?v=1789911444</t>
  </si>
  <si>
    <t>1294861b-903c-11ee-a8ad-00e01a6800eb#dd4df538-903d-11ee-a8ad-00e01a6800eb</t>
  </si>
  <si>
    <t>Алый (L01)</t>
  </si>
  <si>
    <t>https://www.test.lavrpack.ru/local/templates/phoenix_v1/images_cache/thumbs/a5a725e9caed0cd3e7e9ba97a57f7156.webp?v=1789911444</t>
  </si>
  <si>
    <t>1294861b-903c-11ee-a8ad-00e01a6800eb#79645550-903c-11ee-a8ad-00e01a6800eb</t>
  </si>
  <si>
    <t>Зеленый (L34)</t>
  </si>
  <si>
    <t>https://www.test.lavrpack.ru/local/templates/phoenix_v1/images_cache/thumbs/6a3f370180aaba20872f846368b250a9.webp?v=1789911444</t>
  </si>
  <si>
    <t>1294861b-903c-11ee-a8ad-00e01a6800eb#a87f508b-903c-11ee-a8ad-00e01a6800eb</t>
  </si>
  <si>
    <t>Желтый (L21)</t>
  </si>
  <si>
    <t>https://www.test.lavrpack.ru/local/templates/phoenix_v1/images_cache/thumbs/051ea07ecc76a657204f42b60f69b0af.webp?v=1789911444</t>
  </si>
  <si>
    <t>1294861b-903c-11ee-a8ad-00e01a6800eb#d9126523-903c-11ee-a8ad-00e01a6800eb</t>
  </si>
  <si>
    <t>Жемчужный (L24)</t>
  </si>
  <si>
    <t>https://www.test.lavrpack.ru/local/templates/phoenix_v1/images_cache/thumbs/72311b4256125e2d99d60485c83765cb.webp?v=1789911444</t>
  </si>
  <si>
    <t>1294861b-903c-11ee-a8ad-00e01a6800eb#c43e5b3d-903c-11ee-a8ad-00e01a6800eb</t>
  </si>
  <si>
    <t>Бежевый (L23)</t>
  </si>
  <si>
    <t>https://www.test.lavrpack.ru/local/templates/phoenix_v1/images_cache/thumbs/f625430cee4b35133ce73ae2853dbc87.webp?v=1789911444</t>
  </si>
  <si>
    <t>1294861b-903c-11ee-a8ad-00e01a6800eb#f7f8dfd5-903d-11ee-a8ad-00e01a6800eb</t>
  </si>
  <si>
    <t>Апельсиновый (L11)</t>
  </si>
  <si>
    <t>https://www.test.lavrpack.ru/local/templates/phoenix_v1/images_cache/thumbs/eddeed2fbe0bfe71640591f6aa0da7fe.webp?v=1789911444</t>
  </si>
  <si>
    <t>1294861b-903c-11ee-a8ad-00e01a6800eb#f120eb1b-903d-11ee-a8ad-00e01a6800eb</t>
  </si>
  <si>
    <t>Светло-розовый (L05)</t>
  </si>
  <si>
    <t>https://www.test.lavrpack.ru/local/templates/phoenix_v1/images_cache/thumbs/3f29afc9c6b7205d7e1e77d81fbd77fc.webp?v=1789911444</t>
  </si>
  <si>
    <t>1294861b-903c-11ee-a8ad-00e01a6800eb#90b8b1e0-903c-11ee-a8ad-00e01a6800eb</t>
  </si>
  <si>
    <t>Синий (L54)</t>
  </si>
  <si>
    <t>https://www.test.lavrpack.ru/local/templates/phoenix_v1/images_cache/thumbs/fbac3a1ae4b216535e155515057c3003.webp?v=1789911444</t>
  </si>
  <si>
    <t>1294861b-903c-11ee-a8ad-00e01a6800eb#ea7891bb-903d-11ee-a8ad-00e01a6800eb</t>
  </si>
  <si>
    <t>Розовый (L04)</t>
  </si>
  <si>
    <t>https://www.test.lavrpack.ru/local/templates/phoenix_v1/images_cache/thumbs/07e864a84b37610aea5959e915657bff.webp?v=1789911444</t>
  </si>
  <si>
    <t>1294861b-903c-11ee-a8ad-00e01a6800eb#701a569f-903c-11ee-a8ad-00e01a6800eb</t>
  </si>
  <si>
    <t>Тиффани (L32)</t>
  </si>
  <si>
    <t>https://www.test.lavrpack.ru/local/templates/phoenix_v1/images_cache/thumbs/e23d1162d1ffb234f84dffd34ece6a37.webp?v=1789911444</t>
  </si>
  <si>
    <t>1294861b-903c-11ee-a8ad-00e01a6800eb#8661b7af-903c-11ee-a8ad-00e01a6800eb</t>
  </si>
  <si>
    <t>Небесный (L53)</t>
  </si>
  <si>
    <t>https://www.test.lavrpack.ru/local/templates/phoenix_v1/images_cache/thumbs/3746a143c901f87b5418c81e44827dff.webp?v=1789911444</t>
  </si>
  <si>
    <t>1294861b-903c-11ee-a8ad-00e01a6800eb#2a350eb3-903c-11ee-a8ad-00e01a6800eb</t>
  </si>
  <si>
    <t>Лаванда (L61)</t>
  </si>
  <si>
    <t>https://www.test.lavrpack.ru/local/templates/phoenix_v1/images_cache/thumbs/de69ed49fa3bf6f61a0b42df9ef43587.webp?v=1789911444</t>
  </si>
  <si>
    <t>1294861b-903c-11ee-a8ad-00e01a6800eb#2328bba3-903c-11ee-a8ad-00e01a6800eb</t>
  </si>
  <si>
    <t>Фиолетовый (L60)</t>
  </si>
  <si>
    <t>https://www.test.lavrpack.ru/local/templates/phoenix_v1/images_cache/thumbs/d6d847231ad3c3320f1f8ddeb350f561.webp?v=1789911444</t>
  </si>
  <si>
    <t>1294861b-903c-11ee-a8ad-00e01a6800eb#398a4bd7-903c-11ee-a8ad-00e01a6800eb</t>
  </si>
  <si>
    <t>Бордовый (L71)</t>
  </si>
  <si>
    <t>https://www.test.lavrpack.ru/local/templates/phoenix_v1/images_cache/thumbs/6c069caaf4b1b76cd67823d3de066e27.webp?v=1789911444</t>
  </si>
  <si>
    <t>1294861b-903c-11ee-a8ad-00e01a6800eb#bdfebe78-903c-11ee-a8ad-00e01a6800eb</t>
  </si>
  <si>
    <t>Кремовый (L22)</t>
  </si>
  <si>
    <t>https://www.test.lavrpack.ru/local/templates/phoenix_v1/images_cache/thumbs/c28147bd1ccc01f00287f5e5b510be78.webp?v=1789911444</t>
  </si>
  <si>
    <t>1294861b-903c-11ee-a8ad-00e01a6800eb#e47dfceb-903d-11ee-a8ad-00e01a6800eb</t>
  </si>
  <si>
    <t>Фуксия (L02)</t>
  </si>
  <si>
    <t>https://www.test.lavrpack.ru/local/templates/phoenix_v1/images_cache/thumbs/3b52452469cfac161596fb75cbe0ca65.webp?v=1789911444</t>
  </si>
  <si>
    <t>1294861b-903c-11ee-a8ad-00e01a6800eb#696d3a9a-903c-11ee-a8ad-00e01a6800eb</t>
  </si>
  <si>
    <t>Лайм (L31)</t>
  </si>
  <si>
    <t>https://www.test.lavrpack.ru/local/templates/phoenix_v1/images_cache/thumbs/27f274c01a9770aead38d6128a3e513d.webp?v=1789911444</t>
  </si>
  <si>
    <t>1294861b-903c-11ee-a8ad-00e01a6800eb#dd4df528-903d-11ee-a8ad-00e01a6800eb</t>
  </si>
  <si>
    <t>Красный (LH01)</t>
  </si>
  <si>
    <t>https://www.test.lavrpack.ru/local/templates/phoenix_v1/images_cache/thumbs/b7d404a06cf33830c5bfed615de081af.webp?v=1789911444</t>
  </si>
  <si>
    <t>6c028fa5-9040-11ee-a8ad-00e01a6800eb#ddf870c3-9040-11ee-a8ad-00e01a6800eb</t>
  </si>
  <si>
    <t>105208</t>
  </si>
  <si>
    <t>5мм×430м,</t>
  </si>
  <si>
    <t>https://www.test.lavrpack.ru/local/templates/phoenix_v1/images_cache/thumbs/edf92e2f47348b2b2d7a92d361ad73da.webp?v=1789911453</t>
  </si>
  <si>
    <t>6c028fa5-9040-11ee-a8ad-00e01a6800eb#e4baf92a-9040-11ee-a8ad-00e01a6800eb</t>
  </si>
  <si>
    <t>https://www.test.lavrpack.ru/local/templates/phoenix_v1/images_cache/thumbs/05b897155f173ecad95a488bef3b05d4.webp?v=1789911453</t>
  </si>
  <si>
    <t>6c028fa5-9040-11ee-a8ad-00e01a6800eb#93232e26-9040-11ee-a8ad-00e01a6800eb</t>
  </si>
  <si>
    <t>https://www.test.lavrpack.ru/local/templates/phoenix_v1/images_cache/thumbs/bd0f624db75f461ceaa0b9f2486d69f8.webp?v=1789911453</t>
  </si>
  <si>
    <t>6c028fa5-9040-11ee-a8ad-00e01a6800eb#9a3906b7-9040-11ee-a8ad-00e01a6800eb</t>
  </si>
  <si>
    <t>https://www.test.lavrpack.ru/local/templates/phoenix_v1/images_cache/thumbs/e54876527ae1b9f1df6ebdb5fa3a352d.webp?v=1789911453</t>
  </si>
  <si>
    <t>6c028fa5-9040-11ee-a8ad-00e01a6800eb#cf1efb2d-9040-11ee-a8ad-00e01a6800eb</t>
  </si>
  <si>
    <t>https://www.test.lavrpack.ru/local/templates/phoenix_v1/images_cache/thumbs/768d1cbede1c2928d7b525043b8f1c2d.webp?v=1789911453</t>
  </si>
  <si>
    <t>6c028fa5-9040-11ee-a8ad-00e01a6800eb#e3482078-9041-11ee-a8ad-00e01a6800eb</t>
  </si>
  <si>
    <t>https://www.test.lavrpack.ru/local/templates/phoenix_v1/images_cache/thumbs/c933dd0e24ea4f6c4c81869745138db3.webp?v=1789911453</t>
  </si>
  <si>
    <t>6c028fa5-9040-11ee-a8ad-00e01a6800eb#dbe61bde-9041-11ee-a8ad-00e01a6800eb</t>
  </si>
  <si>
    <t>https://www.test.lavrpack.ru/local/templates/phoenix_v1/images_cache/thumbs/46587c47e6147fd2de3dcfd810f4aecc.webp?v=1789911453</t>
  </si>
  <si>
    <t>6c028fa5-9040-11ee-a8ad-00e01a6800eb#c42dc583-9041-11ee-a8ad-00e01a6800eb</t>
  </si>
  <si>
    <t>https://www.test.lavrpack.ru/local/templates/phoenix_v1/images_cache/thumbs/46b5edf899a80733554cfc0e2153cbfd.webp?v=1789911453</t>
  </si>
  <si>
    <t>6c028fa5-9040-11ee-a8ad-00e01a6800eb#9f923c08-9041-11ee-a8ad-00e01a6800eb</t>
  </si>
  <si>
    <t>https://www.test.lavrpack.ru/local/templates/phoenix_v1/images_cache/thumbs/10ba87a982bd74eb4b59c789a2f92e48.webp?v=1789911453</t>
  </si>
  <si>
    <t>6c028fa5-9040-11ee-a8ad-00e01a6800eb#d5e73655-10f9-11ef-9f05-00e01a6800eb</t>
  </si>
  <si>
    <t>Серебро</t>
  </si>
  <si>
    <t>https://www.test.lavrpack.ru/local/templates/phoenix_v1/images_cache/thumbs/b5ccfc3542d660dc40bca5221cc1f978.webp?v=1789911453</t>
  </si>
  <si>
    <t>6c028fa5-9040-11ee-a8ad-00e01a6800eb#be45bdbd-9040-11ee-a8ad-00e01a6800eb</t>
  </si>
  <si>
    <t>https://www.test.lavrpack.ru/local/templates/phoenix_v1/images_cache/thumbs/d5600560f9f05a055e7257114ce3ee80.webp?v=1789911453</t>
  </si>
  <si>
    <t>6c028fa5-9040-11ee-a8ad-00e01a6800eb#caa421e1-9041-11ee-a8ad-00e01a6800eb</t>
  </si>
  <si>
    <t>https://www.test.lavrpack.ru/local/templates/phoenix_v1/images_cache/thumbs/a00c2357bd470578e4d449334d69f433.webp?v=1789911453</t>
  </si>
  <si>
    <t>6c028fa5-9040-11ee-a8ad-00e01a6800eb#56860195-9041-11ee-a8ad-00e01a6800eb</t>
  </si>
  <si>
    <t>https://www.test.lavrpack.ru/local/templates/phoenix_v1/images_cache/thumbs/b414d6975d391d70abc5b0831acdc072.webp?v=1789911453</t>
  </si>
  <si>
    <t>6c028fa5-9040-11ee-a8ad-00e01a6800eb#aa11ad81-9041-11ee-a8ad-00e01a6800eb</t>
  </si>
  <si>
    <t>https://www.test.lavrpack.ru/local/templates/phoenix_v1/images_cache/thumbs/ae24ac3dc1b95635e0903d06a4cadca6.webp?v=1789911453</t>
  </si>
  <si>
    <t>6c028fa5-9040-11ee-a8ad-00e01a6800eb#d24b2e63-9041-11ee-a8ad-00e01a6800eb</t>
  </si>
  <si>
    <t>https://www.test.lavrpack.ru/local/templates/phoenix_v1/images_cache/thumbs/ba1af833dfe11e5e86aa8c58a25b0758.webp?v=1789911453</t>
  </si>
  <si>
    <t>6c028fa5-9040-11ee-a8ad-00e01a6800eb#6c030d9d-9041-11ee-a8ad-00e01a6800eb</t>
  </si>
  <si>
    <t>https://www.test.lavrpack.ru/local/templates/phoenix_v1/images_cache/thumbs/4f36c8bb471df2262b8beda7a8051649.webp?v=1789911453</t>
  </si>
  <si>
    <t>6c028fa5-9040-11ee-a8ad-00e01a6800eb#a0b68736-9040-11ee-a8ad-00e01a6800eb</t>
  </si>
  <si>
    <t>https://www.test.lavrpack.ru/local/templates/phoenix_v1/images_cache/thumbs/1eae616766eea2a90bf85994c2bdc0f3.webp?v=1789911453</t>
  </si>
  <si>
    <t>6c028fa5-9040-11ee-a8ad-00e01a6800eb#1a2afd71-9041-11ee-a8ad-00e01a6800eb</t>
  </si>
  <si>
    <t>https://www.test.lavrpack.ru/local/templates/phoenix_v1/images_cache/thumbs/5b37f2cf7d1f8f3a9316bfe58f5587b8.webp?v=1789911453</t>
  </si>
  <si>
    <t>6c028fa5-9040-11ee-a8ad-00e01a6800eb#63d9156c-9041-11ee-a8ad-00e01a6800eb</t>
  </si>
  <si>
    <t>https://www.test.lavrpack.ru/local/templates/phoenix_v1/images_cache/thumbs/b52f6c548e2f79c3ea9302c49ccf4851.webp?v=1789911453</t>
  </si>
  <si>
    <t>6c028fa5-9040-11ee-a8ad-00e01a6800eb#a789b93f-9040-11ee-a8ad-00e01a6800eb</t>
  </si>
  <si>
    <t>https://www.test.lavrpack.ru/local/templates/phoenix_v1/images_cache/thumbs/17be26546758471c6e3956586f6b929a.webp?v=1789911453</t>
  </si>
  <si>
    <t>6c028fa5-9040-11ee-a8ad-00e01a6800eb#c75b5e29-9040-11ee-a8ad-00e01a6800eb</t>
  </si>
  <si>
    <t>https://www.test.lavrpack.ru/local/templates/phoenix_v1/images_cache/thumbs/009fc6253106fc9a0e8a66e14b437666.webp?v=1789911453</t>
  </si>
  <si>
    <t>6c028fa5-9040-11ee-a8ad-00e01a6800eb#d6e29832-9040-11ee-a8ad-00e01a6800eb</t>
  </si>
  <si>
    <t>https://www.test.lavrpack.ru/local/templates/phoenix_v1/images_cache/thumbs/a1d94f16cf679c74390f67c994ac975a.webp?v=1789911453</t>
  </si>
  <si>
    <t>deebd6d1-06da-11ee-90e0-00e01a6800eb</t>
  </si>
  <si>
    <t>102970</t>
  </si>
  <si>
    <t>Лента с з/п</t>
  </si>
  <si>
    <t>красная</t>
  </si>
  <si>
    <t>Вечная память, 2см×50ярд</t>
  </si>
  <si>
    <t>https://www.test.lavrpack.ru/local/templates/phoenix_v1/images_cache/thumbs/ab08a60d2daa39d52e1ebfc357bec878.webp?v=1789946144</t>
  </si>
  <si>
    <t>60d7d15d-bb23-11ec-bc66-00e01a6800eb</t>
  </si>
  <si>
    <t>70360</t>
  </si>
  <si>
    <t>0,5см×250ярд</t>
  </si>
  <si>
    <t>https://www.test.lavrpack.ru/local/templates/phoenix_v1/images_cache/thumbs/681aaf58beb675ca768f9ea6971095a7.webp?v=1789963865</t>
  </si>
  <si>
    <t>64d0576e-bb26-11ec-bc66-00e01a6800eb</t>
  </si>
  <si>
    <t>70372</t>
  </si>
  <si>
    <t>малиновый</t>
  </si>
  <si>
    <t>https://www.test.lavrpack.ru/local/templates/phoenix_v1/images_cache/thumbs/7709ed31faa822743fe4ea2f5be6f1b1.webp?v=1789963865</t>
  </si>
  <si>
    <t>1e0f3839-c539-11ec-bc66-00e01a6800eb</t>
  </si>
  <si>
    <t>70667</t>
  </si>
  <si>
    <t>бордо</t>
  </si>
  <si>
    <t>https://www.test.lavrpack.ru/local/templates/phoenix_v1/images_cache/thumbs/7728937f643c3657ac0c2313b8678d8d.webp?v=1789963858</t>
  </si>
  <si>
    <t>fd269041-c537-11ec-bc66-00e01a6800eb</t>
  </si>
  <si>
    <t>70666</t>
  </si>
  <si>
    <t>розовый/горох</t>
  </si>
  <si>
    <t>https://www.test.lavrpack.ru/local/templates/phoenix_v1/images_cache/thumbs/08a2e9c274fee5417cde271ab213f703.webp?v=1789963873</t>
  </si>
  <si>
    <t>5a3a1f7b-bb24-11ec-bc66-00e01a6800eb</t>
  </si>
  <si>
    <t>70365</t>
  </si>
  <si>
    <t>https://www.test.lavrpack.ru/local/templates/phoenix_v1/images_cache/thumbs/c688de8133147970f1f1561cc9d6936c.webp?v=1789963864</t>
  </si>
  <si>
    <t>1036d612-bb23-11ec-bc66-00e01a6800eb</t>
  </si>
  <si>
    <t>70358</t>
  </si>
  <si>
    <t>https://www.test.lavrpack.ru/local/templates/phoenix_v1/images_cache/thumbs/bf741abdde6adbdde539e4a9e8527b22.webp?v=1789963857</t>
  </si>
  <si>
    <t>7ab3276a-bb23-11ec-bc66-00e01a6800eb</t>
  </si>
  <si>
    <t>70361</t>
  </si>
  <si>
    <t>https://www.test.lavrpack.ru/local/templates/phoenix_v1/images_cache/thumbs/e02d25c08c01d107782d8d58bb09c12a.webp?v=1789963867</t>
  </si>
  <si>
    <t>d281eda7-532a-11ee-bc2f-00e01a6800eb</t>
  </si>
  <si>
    <t>104050</t>
  </si>
  <si>
    <t>Звезды белый</t>
  </si>
  <si>
    <t>46415f8e-bb24-11ec-bc66-00e01a6800eb</t>
  </si>
  <si>
    <t>70364</t>
  </si>
  <si>
    <t>https://www.test.lavrpack.ru/local/templates/phoenix_v1/images_cache/thumbs/e4deeb58608169fd51839cc8de92fdfd.webp?v=1789963862</t>
  </si>
  <si>
    <t>eabfa9dc-c537-11ec-bc66-00e01a6800eb</t>
  </si>
  <si>
    <t>70665</t>
  </si>
  <si>
    <t>голубой</t>
  </si>
  <si>
    <t>https://www.test.lavrpack.ru/local/templates/phoenix_v1/images_cache/thumbs/d567cfe5333dd9beade32161f7b597dc.webp?v=1789963872</t>
  </si>
  <si>
    <t>ff46a694-bb22-11ec-bc66-00e01a6800eb</t>
  </si>
  <si>
    <t>70357</t>
  </si>
  <si>
    <t>https://www.test.lavrpack.ru/local/templates/phoenix_v1/images_cache/thumbs/fc51c127a301a11cf7a9e8becf31788f.webp?v=1789963874</t>
  </si>
  <si>
    <t>20071268-bb23-11ec-bc66-00e01a6800eb</t>
  </si>
  <si>
    <t>70359</t>
  </si>
  <si>
    <t>https://www.test.lavrpack.ru/local/templates/phoenix_v1/images_cache/thumbs/0c7f043cfdea560abf357c1e130fa866.webp?v=1789963858</t>
  </si>
  <si>
    <t>2a34544a-bb24-11ec-bc66-00e01a6800eb</t>
  </si>
  <si>
    <t>70363</t>
  </si>
  <si>
    <t>https://www.test.lavrpack.ru/local/templates/phoenix_v1/images_cache/thumbs/a519d878ce9c5b14e20fe0bd1ba0cd82.webp?v=1789963860</t>
  </si>
  <si>
    <t>532b2e57-532b-11ee-bc2f-00e01a6800eb</t>
  </si>
  <si>
    <t>104053</t>
  </si>
  <si>
    <t>Звезды зеленый</t>
  </si>
  <si>
    <t>eda17ba6-532a-11ee-bc2f-00e01a6800eb</t>
  </si>
  <si>
    <t>104051</t>
  </si>
  <si>
    <t>Звезды синий</t>
  </si>
  <si>
    <t>1a26bfdc-bb24-11ec-bc66-00e01a6800eb</t>
  </si>
  <si>
    <t>70362</t>
  </si>
  <si>
    <t>https://www.test.lavrpack.ru/local/templates/phoenix_v1/images_cache/thumbs/e1e8805c456269f84dd814e253afe8f3.webp?v=1789963857</t>
  </si>
  <si>
    <t>da45c912-bb27-11ec-bc66-00e01a6800eb</t>
  </si>
  <si>
    <t>70373</t>
  </si>
  <si>
    <t>https://www.test.lavrpack.ru/local/templates/phoenix_v1/images_cache/thumbs/e889ca5ab2a997a1a27f4b7c890b0eaf.webp?v=1789963871</t>
  </si>
  <si>
    <t>1cd6c789-c53d-11ec-bc66-00e01a6800eb</t>
  </si>
  <si>
    <t>70668</t>
  </si>
  <si>
    <t>красный/горох</t>
  </si>
  <si>
    <t>https://www.test.lavrpack.ru/local/templates/phoenix_v1/images_cache/thumbs/d654d8991e0ccc4f25e26586adbfa181.webp?v=1789963858</t>
  </si>
  <si>
    <t>2d704b12-bb25-11ec-bc66-00e01a6800eb</t>
  </si>
  <si>
    <t>70366</t>
  </si>
  <si>
    <t>https://www.test.lavrpack.ru/local/templates/phoenix_v1/images_cache/thumbs/329adaef4a81440866b0e6aac041f380.webp?v=1789963860</t>
  </si>
  <si>
    <t>3f8a3574-532b-11ee-bc2f-00e01a6800eb</t>
  </si>
  <si>
    <t>104052</t>
  </si>
  <si>
    <t>Звезды красный</t>
  </si>
  <si>
    <t>https://www.test.lavrpack.ru/local/templates/phoenix_v1/images_cache/thumbs/aa2fdb684a3bdae37796db396fae130c.webp?v=1789963862</t>
  </si>
  <si>
    <t>eb249ffa-bb25-11ec-bc66-00e01a6800eb</t>
  </si>
  <si>
    <t>70367</t>
  </si>
  <si>
    <t>https://www.test.lavrpack.ru/local/templates/phoenix_v1/images_cache/thumbs/e32da91dc38670bbe31f668e642adb24.webp?v=1789963872</t>
  </si>
  <si>
    <t>Атласные — 128 поз.</t>
  </si>
  <si>
    <t>c284841d-7f2d-11ec-b73f-0018e40a3af2#586c0940-618e-11ed-bb4b-00e01a6800eb</t>
  </si>
  <si>
    <t>67372</t>
  </si>
  <si>
    <t>Лента атласная</t>
  </si>
  <si>
    <t>Пепельная роза (91)</t>
  </si>
  <si>
    <t>10мм×25ярд. Китай</t>
  </si>
  <si>
    <t>https://www.test.lavrpack.ru/local/templates/phoenix_v1/images_cache/thumbs/8e3f19bdaad306a7661510a591118b10.webp?v=1789963890</t>
  </si>
  <si>
    <t>c284841d-7f2d-11ec-b73f-0018e40a3af2#9cc8086a-0ba2-11ef-9f05-00e01a6800eb</t>
  </si>
  <si>
    <t>Черный (39)</t>
  </si>
  <si>
    <t>https://www.test.lavrpack.ru/local/templates/phoenix_v1/images_cache/thumbs/70e5f81180d0c3534ca9bbba4426b278.webp?v=1789963892</t>
  </si>
  <si>
    <t>c284841d-7f2d-11ec-b73f-0018e40a3af2#49127e1b-6658-11ed-bb4b-00e01a6800eb</t>
  </si>
  <si>
    <t>Красный (26)</t>
  </si>
  <si>
    <t>https://www.test.lavrpack.ru/local/templates/phoenix_v1/images_cache/thumbs/0f5c9571d96dbf4c729a844af135a6d2.webp?v=1789963889</t>
  </si>
  <si>
    <t>c284841d-7f2d-11ec-b73f-0018e40a3af2#accde95c-0ba3-11ef-9f05-00e01a6800eb</t>
  </si>
  <si>
    <t>Лайм (150)</t>
  </si>
  <si>
    <t>https://www.test.lavrpack.ru/local/templates/phoenix_v1/images_cache/thumbs/2daa93762523a719468903119d6fa605.webp?v=1789963892</t>
  </si>
  <si>
    <t>c284841d-7f2d-11ec-b73f-0018e40a3af2#85346199-618e-11ed-bb4b-00e01a6800eb</t>
  </si>
  <si>
    <t>Небесный (11)</t>
  </si>
  <si>
    <t>https://www.test.lavrpack.ru/local/templates/phoenix_v1/images_cache/thumbs/873f947f2f37032400b90733edd0795d.webp?v=1789963892</t>
  </si>
  <si>
    <t>c284841d-7f2d-11ec-b73f-0018e40a3af2#429e0e5d-618e-11ed-bb4b-00e01a6800eb</t>
  </si>
  <si>
    <t>Ярко-розовый (05)</t>
  </si>
  <si>
    <t>https://www.test.lavrpack.ru/local/templates/phoenix_v1/images_cache/thumbs/1a7f39478156c180df49a222e805846c.webp?v=1789963889</t>
  </si>
  <si>
    <t>c284841d-7f2d-11ec-b73f-0018e40a3af2#8237cb02-0ba3-11ef-9f05-00e01a6800eb</t>
  </si>
  <si>
    <t>Ягодный (134)</t>
  </si>
  <si>
    <t>https://www.test.lavrpack.ru/local/templates/phoenix_v1/images_cache/thumbs/78bfb3aac031cdc1027fe332b5c4ac28.webp?v=1789963891</t>
  </si>
  <si>
    <t>c284841d-7f2d-11ec-b73f-0018e40a3af2#4aab760b-618e-11ed-bb4b-00e01a6800eb</t>
  </si>
  <si>
    <t>Фуксия (27)</t>
  </si>
  <si>
    <t>https://www.test.lavrpack.ru/local/templates/phoenix_v1/images_cache/thumbs/dea7c89b83f5bbe82f77935f5a54bdac.webp?v=1789963889</t>
  </si>
  <si>
    <t>c284841d-7f2d-11ec-b73f-0018e40a3af2#311fb62f-6658-11ed-bb4b-00e01a6800eb</t>
  </si>
  <si>
    <t>Зеленый (19)</t>
  </si>
  <si>
    <t>https://www.test.lavrpack.ru/local/templates/phoenix_v1/images_cache/thumbs/9194e90ae318e4d9b855e550556e82da.webp?v=1789963889</t>
  </si>
  <si>
    <t>c284841d-7f2d-11ec-b73f-0018e40a3af2#4bfb7e78-7bc7-11ef-ab51-1cfd08767542</t>
  </si>
  <si>
    <t>Оливковый (110)</t>
  </si>
  <si>
    <t>https://www.test.lavrpack.ru/local/templates/phoenix_v1/images_cache/thumbs/e895dd712f20c3954d68511d4819d3a7.webp?v=1789963890</t>
  </si>
  <si>
    <t>c284841d-7f2d-11ec-b73f-0018e40a3af2#6567ed9d-6658-11ed-bb4b-00e01a6800eb</t>
  </si>
  <si>
    <t>Винный</t>
  </si>
  <si>
    <t>https://www.test.lavrpack.ru/local/templates/phoenix_v1/images_cache/thumbs/bdade3dedf8fd9d069c779f3ca1a0b98.webp?v=1789963891</t>
  </si>
  <si>
    <t>c284841d-7f2d-11ec-b73f-0018e40a3af2#2e3521f3-618e-11ed-bb4b-00e01a6800eb</t>
  </si>
  <si>
    <t>Белый (01)</t>
  </si>
  <si>
    <t>https://www.test.lavrpack.ru/local/templates/phoenix_v1/images_cache/thumbs/6333bec69482da7b9abecb039691e4b5.webp?v=1789963888</t>
  </si>
  <si>
    <t>c284841d-7f2d-11ec-b73f-0018e40a3af2#d2fee7ee-618e-11ed-bb4b-00e01a6800eb</t>
  </si>
  <si>
    <t>Бело сиреневый (45)</t>
  </si>
  <si>
    <t>https://www.test.lavrpack.ru/local/templates/phoenix_v1/images_cache/thumbs/86b1e4e40e02b23ee27943fb36f886ed.webp?v=1789963893</t>
  </si>
  <si>
    <t>c284841d-7f2d-11ec-b73f-0018e40a3af2#569fede8-6658-11ed-bb4b-00e01a6800eb</t>
  </si>
  <si>
    <t>Коричневый (106)</t>
  </si>
  <si>
    <t>https://www.test.lavrpack.ru/local/templates/phoenix_v1/images_cache/thumbs/36c1be152aa6fc674679465d2a330069.webp?v=1789968270</t>
  </si>
  <si>
    <t>c284841d-7f2d-11ec-b73f-0018e40a3af2#ec57f678-6657-11ed-bb4b-00e01a6800eb</t>
  </si>
  <si>
    <t>Шампань (02)</t>
  </si>
  <si>
    <t>https://www.test.lavrpack.ru/local/templates/phoenix_v1/images_cache/thumbs/27f92ad7eea3ef0cb751316d7a856d0f.webp?v=1789963893</t>
  </si>
  <si>
    <t>c284841d-7f2d-11ec-b73f-0018e40a3af2#fcb74b94-aee4-11ee-a8ad-00e01a6800eb</t>
  </si>
  <si>
    <t>https://www.test.lavrpack.ru/local/templates/phoenix_v1/images_cache/thumbs/8aff3d1a125669a6f9118117199e6da5.webp?v=1789963893</t>
  </si>
  <si>
    <t>c284841d-7f2d-11ec-b73f-0018e40a3af2#761d084c-618e-11ed-bb4b-00e01a6800eb</t>
  </si>
  <si>
    <t>Ежевичный (171)</t>
  </si>
  <si>
    <t>https://www.test.lavrpack.ru/local/templates/phoenix_v1/images_cache/thumbs/22a80a9673eb30a5357e975bc030b23f.webp?v=1789963891</t>
  </si>
  <si>
    <t>c284841d-7f2d-11ec-b73f-0018e40a3af2#825752f8-6b22-11ed-bb4b-00e01a6800eb</t>
  </si>
  <si>
    <t>Персиковый</t>
  </si>
  <si>
    <t>https://www.test.lavrpack.ru/local/templates/phoenix_v1/images_cache/thumbs/bc4010b65cfb931b3ae0f75ac70bc24f.webp?v=1789963892</t>
  </si>
  <si>
    <t>c284841d-7f2d-11ec-b73f-0018e40a3af2#7b8c9265-0ba2-11ef-9f05-00e01a6800eb</t>
  </si>
  <si>
    <t>Малиновый (28)</t>
  </si>
  <si>
    <t>https://www.test.lavrpack.ru/local/templates/phoenix_v1/images_cache/thumbs/997ee807130daee877cefe35039b5cf6.webp?v=1789963891</t>
  </si>
  <si>
    <t>c284841d-7f2d-11ec-b73f-0018e40a3af2#da9cfd9f-6657-11ed-bb4b-00e01a6800eb</t>
  </si>
  <si>
    <t>Светло розовый (04)</t>
  </si>
  <si>
    <t>https://www.test.lavrpack.ru/local/templates/phoenix_v1/images_cache/thumbs/2c3a1bb6ec1111469414f569f6cd31a3.webp?v=1789963893</t>
  </si>
  <si>
    <t>c284841d-7f2d-11ec-b73f-0018e40a3af2#52cbe10c-0ba3-11ef-9f05-00e01a6800eb</t>
  </si>
  <si>
    <t>Травяной (111)</t>
  </si>
  <si>
    <t>https://www.test.lavrpack.ru/local/templates/phoenix_v1/images_cache/thumbs/82a2925ef31ea7be18d5893c6b7bd4b1.webp?v=1789963890</t>
  </si>
  <si>
    <t>c284841d-7f2d-11ec-b73f-0018e40a3af2#129c1fb3-bc1a-11ed-ba70-00e01a6800eb</t>
  </si>
  <si>
    <t>Стальной (36)</t>
  </si>
  <si>
    <t>https://www.test.lavrpack.ru/local/templates/phoenix_v1/images_cache/thumbs/9c6bb17719045b04b9f9fc5a3834352c.webp?v=1789963888</t>
  </si>
  <si>
    <t>c284841d-7f2d-11ec-b73f-0018e40a3af2#032cb9b3-0ba3-11ef-9f05-00e01a6800eb</t>
  </si>
  <si>
    <t>Вишня (48)</t>
  </si>
  <si>
    <t>https://www.test.lavrpack.ru/local/templates/phoenix_v1/images_cache/thumbs/79eac52bf3c6819c0a9489795408ccd0.webp?v=1789963888</t>
  </si>
  <si>
    <t>c284841d-7f2d-11ec-b73f-0018e40a3af2#68d56603-618e-11ed-bb4b-00e01a6800eb</t>
  </si>
  <si>
    <t>Бело-лиловый (44)</t>
  </si>
  <si>
    <t>https://www.test.lavrpack.ru/local/templates/phoenix_v1/images_cache/thumbs/e4ca78c17503be5759237329fa1bd1dd.webp?v=1789963891</t>
  </si>
  <si>
    <t>c284841d-7f2d-11ec-b73f-0018e40a3af2#2cb55ea3-0ba2-11ef-9f05-00e01a6800eb</t>
  </si>
  <si>
    <t>Неоново-розовый (14)</t>
  </si>
  <si>
    <t>https://www.test.lavrpack.ru/local/templates/phoenix_v1/images_cache/thumbs/4be888e40c15fcc88183e85f01c3e0d5.webp?v=1789963888</t>
  </si>
  <si>
    <t>c284841d-7f2d-11ec-b73f-0018e40a3af2#50c4fcbe-618e-11ed-bb4b-00e01a6800eb</t>
  </si>
  <si>
    <t>Пудра</t>
  </si>
  <si>
    <t>https://www.test.lavrpack.ru/local/templates/phoenix_v1/images_cache/thumbs/5082db092c640751f88b249bdc46aba5.webp?v=1789963890</t>
  </si>
  <si>
    <t>c89a93de-7f2d-11ec-b73f-0018e40a3af2#4cc7fdfd-d3f9-11f0-ab4d-22344d083d2c</t>
  </si>
  <si>
    <t>67394</t>
  </si>
  <si>
    <t>Винный (33)</t>
  </si>
  <si>
    <t>20мм×25ярд. Китай</t>
  </si>
  <si>
    <t>https://www.test.lavrpack.ru/local/templates/phoenix_v1/images_cache/thumbs/13596fc0184b87204a0dd6f553b73913.webp?v=1789963894</t>
  </si>
  <si>
    <t>c89a93de-7f2d-11ec-b73f-0018e40a3af2#65e67b64-d3f9-11f0-ab4d-22344d083d2c</t>
  </si>
  <si>
    <t>https://www.test.lavrpack.ru/local/templates/phoenix_v1/images_cache/thumbs/6a934f832857ead07bd67f5758c4925f.webp?v=1789963895</t>
  </si>
  <si>
    <t>c89a93de-7f2d-11ec-b73f-0018e40a3af2#7c41f29c-bc1a-11ed-ba70-00e01a6800eb</t>
  </si>
  <si>
    <t>https://www.test.lavrpack.ru/local/templates/phoenix_v1/images_cache/thumbs/12ab90535f63d21c238e028cc984890d.webp?v=1789963896</t>
  </si>
  <si>
    <t>c89a93de-7f2d-11ec-b73f-0018e40a3af2#5325f4a2-d3f9-11f0-ab4d-22344d083d2c</t>
  </si>
  <si>
    <t>https://www.test.lavrpack.ru/local/templates/phoenix_v1/images_cache/thumbs/0452069b3c19fe5628830e1d8636abcd.webp?v=1789963895</t>
  </si>
  <si>
    <t>c89a93de-7f2d-11ec-b73f-0018e40a3af2#7622a084-d3f9-11f0-ab4d-22344d083d2c</t>
  </si>
  <si>
    <t>Пудра (92)</t>
  </si>
  <si>
    <t>https://www.test.lavrpack.ru/local/templates/phoenix_v1/images_cache/thumbs/555db2962344146ddb214d1ea3a5f689.webp?v=1789963896</t>
  </si>
  <si>
    <t>c89a93de-7f2d-11ec-b73f-0018e40a3af2#4072a55c-d3f9-11f0-ab4d-22344d083d2c</t>
  </si>
  <si>
    <t>https://www.test.lavrpack.ru/local/templates/phoenix_v1/images_cache/thumbs/528c63f614f18d77e6efceee9fd39f7a.webp?v=1789963894</t>
  </si>
  <si>
    <t>c89a93de-7f2d-11ec-b73f-0018e40a3af2#7ca11311-d3f9-11f0-ab4d-22344d083d2c</t>
  </si>
  <si>
    <t>https://www.test.lavrpack.ru/local/templates/phoenix_v1/images_cache/thumbs/fe38fe38da05bd60ea1a2f8a1aded324.webp?v=1789963896</t>
  </si>
  <si>
    <t>c89a93de-7f2d-11ec-b73f-0018e40a3af2#a2d61fed-bc1a-11ed-ba70-00e01a6800eb</t>
  </si>
  <si>
    <t>https://www.test.lavrpack.ru/local/templates/phoenix_v1/images_cache/thumbs/bd466f8d97c691daf049c0cf2424c021.webp?v=1789968271</t>
  </si>
  <si>
    <t>c89a93de-7f2d-11ec-b73f-0018e40a3af2#8383a44b-d3f9-11f0-ab4d-22344d083d2c</t>
  </si>
  <si>
    <t>https://www.test.lavrpack.ru/local/templates/phoenix_v1/images_cache/thumbs/4e1ac542a0717efeddd914c31d441198.webp?v=1789963897</t>
  </si>
  <si>
    <t>c89a93de-7f2d-11ec-b73f-0018e40a3af2#923ac644-bc1a-11ed-ba70-00e01a6800eb</t>
  </si>
  <si>
    <t>https://www.test.lavrpack.ru/local/templates/phoenix_v1/images_cache/thumbs/a7c41f7032c2101872d0fd8914fa4445.webp?v=1789968271</t>
  </si>
  <si>
    <t>c89a93de-7f2d-11ec-b73f-0018e40a3af2#12b393ef-6010-11f1-ab51-22344d083d2c</t>
  </si>
  <si>
    <t>https://www.test.lavrpack.ru/local/templates/phoenix_v1/images_cache/thumbs/4511e56e8e46c452216a64de51b15ea2.webp?v=1789977971</t>
  </si>
  <si>
    <t>c89a93de-7f2d-11ec-b73f-0018e40a3af2#6daae6f7-d3f9-11f0-ab4d-22344d083d2c</t>
  </si>
  <si>
    <t>https://www.test.lavrpack.ru/local/templates/phoenix_v1/images_cache/thumbs/6831c385116c390b6a03d15efdaa5ff8.webp?v=1789963895</t>
  </si>
  <si>
    <t>c89a93de-7f2d-11ec-b73f-0018e40a3af2#38916153-d3f9-11f0-ab4d-22344d083d2c</t>
  </si>
  <si>
    <t>https://www.test.lavrpack.ru/local/templates/phoenix_v1/images_cache/thumbs/1de2e43ba41eb9c93e62002a17d6ad1b.webp?v=1789963894</t>
  </si>
  <si>
    <t>c89a93de-7f2d-11ec-b73f-0018e40a3af2#5f6bfba4-d3f9-11f0-ab4d-22344d083d2c</t>
  </si>
  <si>
    <t>Синий (40)</t>
  </si>
  <si>
    <t>https://www.test.lavrpack.ru/local/templates/phoenix_v1/images_cache/thumbs/391575ce9021d9a77552c225e976e3ce.webp?v=1789963895</t>
  </si>
  <si>
    <t>c89a93de-7f2d-11ec-b73f-0018e40a3af2#bb0538b8-633d-11f1-ab51-22344d083d2c</t>
  </si>
  <si>
    <t>Светлый персик (07)</t>
  </si>
  <si>
    <t>c89a93de-7f2d-11ec-b73f-0018e40a3af2#5cf1634d-6198-11ed-bb4b-00e01a6800eb</t>
  </si>
  <si>
    <t>https://www.test.lavrpack.ru/local/templates/phoenix_v1/images_cache/thumbs/fdfebb309769f827606f82bb527966aa.webp?v=1789968270</t>
  </si>
  <si>
    <t>c89a93de-7f2d-11ec-b73f-0018e40a3af2#4b7d6c6b-6198-11ed-bb4b-00e01a6800eb</t>
  </si>
  <si>
    <t>https://www.test.lavrpack.ru/local/templates/phoenix_v1/images_cache/thumbs/17b48253be57334c044dedb33a7f92e8.webp?v=1789963894</t>
  </si>
  <si>
    <t>c89a93de-7f2d-11ec-b73f-0018e40a3af2#aae7a136-d3f9-11f0-ab4d-22344d083d2c</t>
  </si>
  <si>
    <t>https://www.test.lavrpack.ru/local/templates/phoenix_v1/images_cache/thumbs/bd04be9002773a90469c9ab9e1817ba2.webp?v=1789963897</t>
  </si>
  <si>
    <t>c89a93de-7f2d-11ec-b73f-0018e40a3af2#7133aebf-bc1a-11ed-ba70-00e01a6800eb</t>
  </si>
  <si>
    <t>https://www.test.lavrpack.ru/local/templates/phoenix_v1/images_cache/thumbs/bf2a200f84727b5378c3935529d82f83.webp?v=1789963896</t>
  </si>
  <si>
    <t>454d5aae-dcc9-11ec-bc66-00e01a6800eb#a95ada6c-9271-11ee-a8ad-00e01a6800eb</t>
  </si>
  <si>
    <t>71393</t>
  </si>
  <si>
    <t>Графит (03)</t>
  </si>
  <si>
    <t>25мм×25ярд. Китай</t>
  </si>
  <si>
    <t>упак</t>
  </si>
  <si>
    <t>https://www.test.lavrpack.ru/local/templates/phoenix_v1/images_cache/thumbs/14bc4bc803e4be6beed33a0f4f4b5f1a.webp?v=1789963880</t>
  </si>
  <si>
    <t>454d5aae-dcc9-11ec-bc66-00e01a6800eb#b1d80fe2-bc1d-11ed-ba70-00e01a6800eb</t>
  </si>
  <si>
    <t>Бледно-голубой (145)</t>
  </si>
  <si>
    <t>https://www.test.lavrpack.ru/local/templates/phoenix_v1/images_cache/thumbs/f3c8bf75b1e6074eb73c140cdb280ce1.webp?v=1789968269</t>
  </si>
  <si>
    <t>454d5aae-dcc9-11ec-bc66-00e01a6800eb#4eef81d0-619b-11ed-bb4b-00e01a6800eb</t>
  </si>
  <si>
    <t>https://www.test.lavrpack.ru/local/templates/phoenix_v1/images_cache/thumbs/c2484c35292f40328a66a7fd7cc09750.webp?v=1789963876</t>
  </si>
  <si>
    <t>454d5aae-dcc9-11ec-bc66-00e01a6800eb#6b46e3f2-619b-11ed-bb4b-00e01a6800eb</t>
  </si>
  <si>
    <t>Оранжевый (144)</t>
  </si>
  <si>
    <t>https://www.test.lavrpack.ru/local/templates/phoenix_v1/images_cache/thumbs/7ea067f64c0668d6f1a024b9931a621e.webp?v=1789963877</t>
  </si>
  <si>
    <t>454d5aae-dcc9-11ec-bc66-00e01a6800eb#8702642f-665c-11ed-bb4b-00e01a6800eb</t>
  </si>
  <si>
    <t>Алый (163)</t>
  </si>
  <si>
    <t>https://www.test.lavrpack.ru/local/templates/phoenix_v1/images_cache/thumbs/eaf2fb020c11118219a76d99dcb63b1f.webp?v=1789963878</t>
  </si>
  <si>
    <t>454d5aae-dcc9-11ec-bc66-00e01a6800eb#07bc86e6-bc1c-11ed-ba70-00e01a6800eb</t>
  </si>
  <si>
    <t>Темно-фиолетовый (46)</t>
  </si>
  <si>
    <t>https://www.test.lavrpack.ru/local/templates/phoenix_v1/images_cache/thumbs/5a85a8f7e287d1a6d8d53f833e9fb7ee.webp?v=1789968267</t>
  </si>
  <si>
    <t>454d5aae-dcc9-11ec-bc66-00e01a6800eb#bbf1393f-9271-11ee-a8ad-00e01a6800eb</t>
  </si>
  <si>
    <t>https://www.test.lavrpack.ru/local/templates/phoenix_v1/images_cache/thumbs/29d8c93fad25e1125df50128a89b26bb.webp?v=1789968270</t>
  </si>
  <si>
    <t>454d5aae-dcc9-11ec-bc66-00e01a6800eb#71b87d9f-619b-11ed-bb4b-00e01a6800eb</t>
  </si>
  <si>
    <t>https://www.test.lavrpack.ru/local/templates/phoenix_v1/images_cache/thumbs/0da323542b5c1e5a365b4a75008f1180.webp?v=1789968269</t>
  </si>
  <si>
    <t>454d5aae-dcc9-11ec-bc66-00e01a6800eb#1669675c-bc1d-11ed-ba70-00e01a6800eb</t>
  </si>
  <si>
    <t>Абрикосовый (97)</t>
  </si>
  <si>
    <t>https://www.test.lavrpack.ru/local/templates/phoenix_v1/images_cache/thumbs/2b6ade7063bd151caa0797f054ae5d59.webp?v=1789968268</t>
  </si>
  <si>
    <t>454d5aae-dcc9-11ec-bc66-00e01a6800eb#803cd9e6-090d-11ef-9f05-00e01a6800eb</t>
  </si>
  <si>
    <t>Темно-сиреневый (21)</t>
  </si>
  <si>
    <t>https://www.test.lavrpack.ru/local/templates/phoenix_v1/images_cache/thumbs/a554198156c7bab9d6b893a550ed6f51.webp?v=1789968269</t>
  </si>
  <si>
    <t>454d5aae-dcc9-11ec-bc66-00e01a6800eb#5ea67e5a-64db-11ed-bb4b-00e01a6800eb</t>
  </si>
  <si>
    <t>https://www.test.lavrpack.ru/local/templates/phoenix_v1/images_cache/thumbs/398af68f4b3215fec89338255ee0d3b4.webp?v=1789968268</t>
  </si>
  <si>
    <t>454d5aae-dcc9-11ec-bc66-00e01a6800eb#b7a8108c-6659-11ed-bb4b-00e01a6800eb</t>
  </si>
  <si>
    <t>Слоновая кость (83)</t>
  </si>
  <si>
    <t>https://www.test.lavrpack.ru/local/templates/phoenix_v1/images_cache/thumbs/32945328be7419273f97ffc271265600.webp?v=1789968269</t>
  </si>
  <si>
    <t>454d5aae-dcc9-11ec-bc66-00e01a6800eb#ca7b7de1-6b2d-11ed-bb4b-00e01a6800eb</t>
  </si>
  <si>
    <t>Бирюзовый (20)</t>
  </si>
  <si>
    <t>https://www.test.lavrpack.ru/local/templates/phoenix_v1/images_cache/thumbs/4b8bf38fb7b9fa4bb17f1b0499e5170a.webp?v=1789963882</t>
  </si>
  <si>
    <t>454d5aae-dcc9-11ec-bc66-00e01a6800eb#78e623e4-619b-11ed-bb4b-00e01a6800eb</t>
  </si>
  <si>
    <t>https://www.test.lavrpack.ru/local/templates/phoenix_v1/images_cache/thumbs/04ebcc4047eee6091b569d3d9bf86283.webp?v=1789963877</t>
  </si>
  <si>
    <t>454d5aae-dcc9-11ec-bc66-00e01a6800eb#0cca9e8c-619c-11ed-bb4b-00e01a6800eb</t>
  </si>
  <si>
    <t>https://www.test.lavrpack.ru/local/templates/phoenix_v1/images_cache/thumbs/4ab15ca5c5324a2eec709d51d5b9adb9.webp?v=1789968267</t>
  </si>
  <si>
    <t>454d5aae-dcc9-11ec-bc66-00e01a6800eb#2a3bb0e3-665a-11ed-bb4b-00e01a6800eb</t>
  </si>
  <si>
    <t>https://www.test.lavrpack.ru/local/templates/phoenix_v1/images_cache/thumbs/f8c7f8e027ab473d165f3d5d3839f911.webp?v=1789963875</t>
  </si>
  <si>
    <t>454d5aae-dcc9-11ec-bc66-00e01a6800eb#1cff98db-090e-11ef-9f05-00e01a6800eb</t>
  </si>
  <si>
    <t>Сакура (66)</t>
  </si>
  <si>
    <t>https://www.test.lavrpack.ru/local/templates/phoenix_v1/images_cache/thumbs/6401de947ca62282761874da9bc8cc21.webp?v=1789963875</t>
  </si>
  <si>
    <t>454d5aae-dcc9-11ec-bc66-00e01a6800eb#6dd812a1-bc1d-11ed-ba70-00e01a6800eb</t>
  </si>
  <si>
    <t>Ментол (50)</t>
  </si>
  <si>
    <t>https://www.test.lavrpack.ru/local/templates/phoenix_v1/images_cache/thumbs/8417a5fbff6fdd3ec1779bd0acd681ee.webp?v=1789963877</t>
  </si>
  <si>
    <t>454d5aae-dcc9-11ec-bc66-00e01a6800eb#29a4ec90-619c-11ed-bb4b-00e01a6800eb</t>
  </si>
  <si>
    <t>Пыльно-розовый (41)</t>
  </si>
  <si>
    <t>https://www.test.lavrpack.ru/local/templates/phoenix_v1/images_cache/thumbs/023766f41adcbeeac1e950a985eb2176.webp?v=1789963875</t>
  </si>
  <si>
    <t>454d5aae-dcc9-11ec-bc66-00e01a6800eb#34233e10-619d-11ed-bb4b-00e01a6800eb</t>
  </si>
  <si>
    <t>Жемчужный (42)</t>
  </si>
  <si>
    <t>https://www.test.lavrpack.ru/local/templates/phoenix_v1/images_cache/thumbs/534c09cf296fe15bc293696c544de914.webp?v=1789963875</t>
  </si>
  <si>
    <t>454d5aae-dcc9-11ec-bc66-00e01a6800eb#8b566cc4-619b-11ed-bb4b-00e01a6800eb</t>
  </si>
  <si>
    <t>Мятный (80)</t>
  </si>
  <si>
    <t>https://www.test.lavrpack.ru/local/templates/phoenix_v1/images_cache/thumbs/0c5689c4ae0483507c0a2269b963fc4c.webp?v=1789963879</t>
  </si>
  <si>
    <t>454d5aae-dcc9-11ec-bc66-00e01a6800eb#9f13f61b-619b-11ed-bb4b-00e01a6800eb</t>
  </si>
  <si>
    <t>https://www.test.lavrpack.ru/local/templates/phoenix_v1/images_cache/thumbs/03de0bbbcb61998434c3e7d896d37ef5.webp?v=1789963879</t>
  </si>
  <si>
    <t>454d5aae-dcc9-11ec-bc66-00e01a6800eb#46054055-b293-11ed-ba70-00e01a6800eb</t>
  </si>
  <si>
    <t>https://www.test.lavrpack.ru/local/templates/phoenix_v1/images_cache/thumbs/a4fc0b74d0f34760fd13ed26cd044d4f.webp?v=1789963876</t>
  </si>
  <si>
    <t>454d5aae-dcc9-11ec-bc66-00e01a6800eb#c6e0ee64-64ee-11ed-bb4b-00e01a6800eb</t>
  </si>
  <si>
    <t>Бело-сиреневый (45)</t>
  </si>
  <si>
    <t>https://www.test.lavrpack.ru/local/templates/phoenix_v1/images_cache/thumbs/a59bbc781ffbf2af2a8e195ba2b17bc4.webp?v=1789963882</t>
  </si>
  <si>
    <t>454d5aae-dcc9-11ec-bc66-00e01a6800eb#a8aed577-0b9d-11ef-9f05-00e01a6800eb</t>
  </si>
  <si>
    <t>https://www.test.lavrpack.ru/local/templates/phoenix_v1/images_cache/thumbs/6879f474d92281b78ad78e7b2af140ee.webp?v=1789963880</t>
  </si>
  <si>
    <t>454d5aae-dcc9-11ec-bc66-00e01a6800eb#9edbef4b-619c-11ed-bb4b-00e01a6800eb</t>
  </si>
  <si>
    <t>Темно-зеленый (108)</t>
  </si>
  <si>
    <t>https://www.test.lavrpack.ru/local/templates/phoenix_v1/images_cache/thumbs/67000c1cf559d357cb907df7ff5de9dc.webp?v=1789963879</t>
  </si>
  <si>
    <t>454d5aae-dcc9-11ec-bc66-00e01a6800eb#fdff7159-619b-11ed-bb4b-00e01a6800eb</t>
  </si>
  <si>
    <t>https://www.test.lavrpack.ru/local/templates/phoenix_v1/images_cache/thumbs/afd017b9efda517b3701d22017a1dcd7.webp?v=1789963883</t>
  </si>
  <si>
    <t>454d5aae-dcc9-11ec-bc66-00e01a6800eb#7fde5431-b293-11ed-ba70-00e01a6800eb</t>
  </si>
  <si>
    <t>https://www.test.lavrpack.ru/local/templates/phoenix_v1/images_cache/thumbs/3bb404983344446e312e6253f67fe3d4.webp?v=1789963878</t>
  </si>
  <si>
    <t>454d5aae-dcc9-11ec-bc66-00e01a6800eb#81db67c3-64ee-11ed-bb4b-00e01a6800eb</t>
  </si>
  <si>
    <t>https://www.test.lavrpack.ru/local/templates/phoenix_v1/images_cache/thumbs/15d98fa5b8dada85ab0759b49784943c.webp?v=1789963878</t>
  </si>
  <si>
    <t>454d5aae-dcc9-11ec-bc66-00e01a6800eb#c00a8b67-619b-11ed-bb4b-00e01a6800eb</t>
  </si>
  <si>
    <t>https://www.test.lavrpack.ru/local/templates/phoenix_v1/images_cache/thumbs/ffec68d6e2e23178aed795ea93366480.webp?v=1789963881</t>
  </si>
  <si>
    <t>454d5aae-dcc9-11ec-bc66-00e01a6800eb#42ce3404-090e-11ef-9f05-00e01a6800eb</t>
  </si>
  <si>
    <t>https://www.test.lavrpack.ru/local/templates/phoenix_v1/images_cache/thumbs/2f89f2466a2b5dd61cde1d99e276335d.webp?v=1789968268</t>
  </si>
  <si>
    <t>454d5aae-dcc9-11ec-bc66-00e01a6800eb#c9bb51e5-9271-11ee-a8ad-00e01a6800eb</t>
  </si>
  <si>
    <t>Пурпурный (95)</t>
  </si>
  <si>
    <t>https://www.test.lavrpack.ru/local/templates/phoenix_v1/images_cache/thumbs/a74a0c8034f016cfa8df272f7ad3d978.webp?v=1789963882</t>
  </si>
  <si>
    <t>454d5aae-dcc9-11ec-bc66-00e01a6800eb#b68e5ad5-0b9d-11ef-9f05-00e01a6800eb</t>
  </si>
  <si>
    <t>Аметист (69)</t>
  </si>
  <si>
    <t>https://www.test.lavrpack.ru/local/templates/phoenix_v1/images_cache/thumbs/f00a17a28afa9afc78d6d0283fcb69cc.webp?v=1789963881</t>
  </si>
  <si>
    <t>454d5aae-dcc9-11ec-bc66-00e01a6800eb#cf930efe-b293-11ed-ba70-00e01a6800eb</t>
  </si>
  <si>
    <t>https://www.test.lavrpack.ru/local/templates/phoenix_v1/images_cache/thumbs/c93e1214482b4b8b5e0fbd2aba9379d8.webp?v=1789963882</t>
  </si>
  <si>
    <t>454d5aae-dcc9-11ec-bc66-00e01a6800eb#e3bae1f3-619b-11ed-bb4b-00e01a6800eb</t>
  </si>
  <si>
    <t>Светло-розовый (04)</t>
  </si>
  <si>
    <t>https://www.test.lavrpack.ru/local/templates/phoenix_v1/images_cache/thumbs/6235d1aa9497d2c539c31a2a25eacd40.webp?v=1789963883</t>
  </si>
  <si>
    <t>454d5aae-dcc9-11ec-bc66-00e01a6800eb#8a45cd67-665b-11ed-bb4b-00e01a6800eb</t>
  </si>
  <si>
    <t>https://www.test.lavrpack.ru/local/templates/phoenix_v1/images_cache/thumbs/b6531f898eefd4935eecd9faa0252618.webp?v=1789963879</t>
  </si>
  <si>
    <t>454d5aae-dcc9-11ec-bc66-00e01a6800eb#be56ba51-0b9d-11ef-9f05-00e01a6800eb</t>
  </si>
  <si>
    <t>Черешня (72)</t>
  </si>
  <si>
    <t>https://www.test.lavrpack.ru/local/templates/phoenix_v1/images_cache/thumbs/5c47589adc1fdbc41cfa53d847618a3c.webp?v=1789963881</t>
  </si>
  <si>
    <t>454d5aae-dcc9-11ec-bc66-00e01a6800eb#08bd448c-619d-11ed-bb4b-00e01a6800eb</t>
  </si>
  <si>
    <t>Бело-розовый (43)</t>
  </si>
  <si>
    <t>https://www.test.lavrpack.ru/local/templates/phoenix_v1/images_cache/thumbs/faa3f9f0e4ddfccdb67ec91de1ecced5.webp?v=1789968267</t>
  </si>
  <si>
    <t>454d5aae-dcc9-11ec-bc66-00e01a6800eb#a59d5d7b-619b-11ed-bb4b-00e01a6800eb</t>
  </si>
  <si>
    <t>https://www.test.lavrpack.ru/local/templates/phoenix_v1/images_cache/thumbs/6bd0f98dcf8fb73f2cc85e70822f9066.webp?v=1789963880</t>
  </si>
  <si>
    <t>454d5aae-dcc9-11ec-bc66-00e01a6800eb#b217d43b-619b-11ed-bb4b-00e01a6800eb</t>
  </si>
  <si>
    <t>https://www.test.lavrpack.ru/local/templates/phoenix_v1/images_cache/thumbs/d4b2f1eb7a1d25049dd23b5a5312ce2a.webp?v=1789963880</t>
  </si>
  <si>
    <t>454d5aae-dcc9-11ec-bc66-00e01a6800eb#13c352bc-b293-11ed-ba70-00e01a6800eb</t>
  </si>
  <si>
    <t>Бело-желтый (08)</t>
  </si>
  <si>
    <t>https://www.test.lavrpack.ru/local/templates/phoenix_v1/images_cache/thumbs/2cce3e4219ae371e8ab31e29b8c72684.webp?v=1789968267</t>
  </si>
  <si>
    <t>454d5aae-dcc9-11ec-bc66-00e01a6800eb#4147d686-619c-11ed-bb4b-00e01a6800eb</t>
  </si>
  <si>
    <t>https://www.test.lavrpack.ru/local/templates/phoenix_v1/images_cache/thumbs/c0bcdfafa1188de89d3a739d3e339d69.webp?v=1789963876</t>
  </si>
  <si>
    <t>454d5aae-dcc9-11ec-bc66-00e01a6800eb#b93e566d-619b-11ed-bb4b-00e01a6800eb</t>
  </si>
  <si>
    <t>Голубой (187)</t>
  </si>
  <si>
    <t>https://www.test.lavrpack.ru/local/templates/phoenix_v1/images_cache/thumbs/80ab3c4b87456377cf6853f2c11c2cd0.webp?v=1789963881</t>
  </si>
  <si>
    <t>454d5aae-dcc9-11ec-bc66-00e01a6800eb#38ac9550-619b-11ed-bb4b-00e01a6800eb</t>
  </si>
  <si>
    <t>https://www.test.lavrpack.ru/local/templates/phoenix_v1/images_cache/thumbs/8bb9008ffe04bb78926cadfe7b3bfc4d.webp?v=1789963876</t>
  </si>
  <si>
    <t>454d5aae-dcc9-11ec-bc66-00e01a6800eb#559c9e1d-619b-11ed-bb4b-00e01a6800eb</t>
  </si>
  <si>
    <t>Желтый (143)</t>
  </si>
  <si>
    <t>https://www.test.lavrpack.ru/local/templates/phoenix_v1/images_cache/thumbs/5934fc9304002f8d2d74201721670ff4.webp?v=1789963877</t>
  </si>
  <si>
    <t>454d5aae-dcc9-11ec-bc66-00e01a6800eb#d9d0bc7a-0b9d-11ef-9f05-00e01a6800eb</t>
  </si>
  <si>
    <t>Изумрудный (126)</t>
  </si>
  <si>
    <t>https://www.test.lavrpack.ru/local/templates/phoenix_v1/images_cache/thumbs/90adabcca672209875a222097e9eaecf.webp?v=1789963882</t>
  </si>
  <si>
    <t>454d5aae-dcc9-11ec-bc66-00e01a6800eb#2d657869-619d-11ed-bb4b-00e01a6800eb</t>
  </si>
  <si>
    <t>Сиренево-розовый (93)</t>
  </si>
  <si>
    <t>https://www.test.lavrpack.ru/local/templates/phoenix_v1/images_cache/thumbs/5afd77f17ca78c2b370ba5c42a8cd2f6.webp?v=1789968268</t>
  </si>
  <si>
    <t>454d5aae-dcc9-11ec-bc66-00e01a6800eb#381a641a-090e-11ef-9f05-00e01a6800eb</t>
  </si>
  <si>
    <t>Коралл (129)</t>
  </si>
  <si>
    <t>https://www.test.lavrpack.ru/local/templates/phoenix_v1/images_cache/thumbs/b79b458fbde730da5ae6847a899d4a90.webp?v=1789963875</t>
  </si>
  <si>
    <t>18cd602f-7f2f-11ec-b73f-0018e40a3af2#a12a0507-bc21-11ed-ba70-00e01a6800eb</t>
  </si>
  <si>
    <t>68170</t>
  </si>
  <si>
    <t>38мм×25ярд. Китай</t>
  </si>
  <si>
    <t>https://www.test.lavrpack.ru/local/templates/phoenix_v1/images_cache/thumbs/5513f490cbcd5c8c99e3f6b635a1ae0c.webp?v=1789932528</t>
  </si>
  <si>
    <t>18cd602f-7f2f-11ec-b73f-0018e40a3af2#f71edae6-0ba5-11ef-9f05-00e01a6800eb</t>
  </si>
  <si>
    <t>https://www.test.lavrpack.ru/local/templates/phoenix_v1/images_cache/thumbs/d3cab31aad984a0198b30ffb46eb7514.webp?v=1789932529</t>
  </si>
  <si>
    <t>18cd602f-7f2f-11ec-b73f-0018e40a3af2#8a230c69-0bab-11ef-9f05-00e01a6800eb</t>
  </si>
  <si>
    <t>https://www.test.lavrpack.ru/local/templates/phoenix_v1/images_cache/thumbs/8adcafde3a890cfe4d903efb726b2ec3.webp?v=1789932527</t>
  </si>
  <si>
    <t>18cd602f-7f2f-11ec-b73f-0018e40a3af2#833975a4-61aa-11ed-bb4b-00e01a6800eb</t>
  </si>
  <si>
    <t>https://www.test.lavrpack.ru/local/templates/phoenix_v1/images_cache/thumbs/93da7ac4e20e102c0b727739b6de7783.webp?v=1789968266</t>
  </si>
  <si>
    <t>18cd602f-7f2f-11ec-b73f-0018e40a3af2#a60e5876-61aa-11ed-bb4b-00e01a6800eb</t>
  </si>
  <si>
    <t>https://www.test.lavrpack.ru/local/templates/phoenix_v1/images_cache/thumbs/1140426854683a381434335c8fee1a49.webp?v=1789968266</t>
  </si>
  <si>
    <t>18cd602f-7f2f-11ec-b73f-0018e40a3af2#aeb639f6-bc21-11ed-ba70-00e01a6800eb</t>
  </si>
  <si>
    <t>https://www.test.lavrpack.ru/local/templates/phoenix_v1/images_cache/thumbs/7bbc5f0b164a8bbc0d746f7ca68b8302.webp?v=1789932528</t>
  </si>
  <si>
    <t>18cd602f-7f2f-11ec-b73f-0018e40a3af2#608e8338-a311-11ef-ab3b-22344d083d2c</t>
  </si>
  <si>
    <t>https://www.test.lavrpack.ru/local/templates/phoenix_v1/images_cache/thumbs/b94fa8cbbd1ad7434944a08a22d1df0d.webp?v=1789968271</t>
  </si>
  <si>
    <t>18cd602f-7f2f-11ec-b73f-0018e40a3af2#58a3d19e-0baa-11ef-9f05-00e01a6800eb</t>
  </si>
  <si>
    <t>https://www.test.lavrpack.ru/local/templates/phoenix_v1/images_cache/thumbs/466210836e5def453a70096d18fa2f65.webp?v=1789932526</t>
  </si>
  <si>
    <t>18cd602f-7f2f-11ec-b73f-0018e40a3af2#996dcbb2-61aa-11ed-bb4b-00e01a6800eb</t>
  </si>
  <si>
    <t>https://www.test.lavrpack.ru/local/templates/phoenix_v1/images_cache/thumbs/912e2d99f52b651e64829c8c8546e4b2.webp?v=1789932527</t>
  </si>
  <si>
    <t>18cd602f-7f2f-11ec-b73f-0018e40a3af2#3651dac3-0baa-11ef-9f05-00e01a6800eb</t>
  </si>
  <si>
    <t>https://www.test.lavrpack.ru/local/templates/phoenix_v1/images_cache/thumbs/ce8e9e7b5ae30464894bcfcda7625e12.webp?v=1789932526</t>
  </si>
  <si>
    <t>18cd602f-7f2f-11ec-b73f-0018e40a3af2#63f65551-d3fa-11f0-ab4d-22344d083d2c</t>
  </si>
  <si>
    <t>https://www.test.lavrpack.ru/local/templates/phoenix_v1/images_cache/thumbs/6604c5459a007900214103368a827e58.webp?v=1789932526</t>
  </si>
  <si>
    <t>18cd602f-7f2f-11ec-b73f-0018e40a3af2#a5030288-8acf-11ef-ab5c-1cfd08767543</t>
  </si>
  <si>
    <t>https://www.test.lavrpack.ru/local/templates/phoenix_v1/images_cache/thumbs/86c719b61022fd00bed519e5ee12171a.webp?v=1789932528</t>
  </si>
  <si>
    <t>18cd602f-7f2f-11ec-b73f-0018e40a3af2#9ff73323-61aa-11ed-bb4b-00e01a6800eb</t>
  </si>
  <si>
    <t>https://www.test.lavrpack.ru/local/templates/phoenix_v1/images_cache/thumbs/f4ed29da99f643042e1597c0c4e207b7.webp?v=1789932527</t>
  </si>
  <si>
    <t>18cd602f-7f2f-11ec-b73f-0018e40a3af2#1d93acc3-0baa-11ef-9f05-00e01a6800eb</t>
  </si>
  <si>
    <t>https://www.test.lavrpack.ru/local/templates/phoenix_v1/images_cache/thumbs/3accbc0ae9197e4a6f758e36b5a4d5fc.webp?v=1789932525</t>
  </si>
  <si>
    <t>18cd602f-7f2f-11ec-b73f-0018e40a3af2#bee675b3-bc21-11ed-ba70-00e01a6800eb</t>
  </si>
  <si>
    <t>https://www.test.lavrpack.ru/local/templates/phoenix_v1/images_cache/thumbs/d28506ff20f480dd34f25ed5ccd40653.webp?v=1789932528</t>
  </si>
  <si>
    <t>18cd602f-7f2f-11ec-b73f-0018e40a3af2#967af7ec-bc21-11ed-ba70-00e01a6800eb</t>
  </si>
  <si>
    <t>https://www.test.lavrpack.ru/local/templates/phoenix_v1/images_cache/thumbs/10d2308d3dcf797d21df09839322d166.webp?v=1789932527</t>
  </si>
  <si>
    <t>18cd602f-7f2f-11ec-b73f-0018e40a3af2#0b424180-0ba5-11ef-9f05-00e01a6800eb</t>
  </si>
  <si>
    <t>https://www.test.lavrpack.ru/local/templates/phoenix_v1/images_cache/thumbs/6ea739be35ddc6c2cf6434b93088f67c.webp?v=1789932525</t>
  </si>
  <si>
    <t>18cd602f-7f2f-11ec-b73f-0018e40a3af2#8080684f-0ba5-11ef-9f05-00e01a6800eb</t>
  </si>
  <si>
    <t>https://www.test.lavrpack.ru/local/templates/phoenix_v1/images_cache/thumbs/0ea0c791deca31434015d72cb86e3f0e.webp?v=1789932526</t>
  </si>
  <si>
    <t>18cd602f-7f2f-11ec-b73f-0018e40a3af2#0ca3a630-d44c-11ed-8488-00e01a6800eb</t>
  </si>
  <si>
    <t>https://www.test.lavrpack.ru/local/templates/phoenix_v1/images_cache/thumbs/f9262d89e5efc6555e8688d8a82acb78.webp?v=1789968266</t>
  </si>
  <si>
    <t>18cd602f-7f2f-11ec-b73f-0018e40a3af2#f8a5d7b2-d44b-11ed-8488-00e01a6800eb</t>
  </si>
  <si>
    <t>https://www.test.lavrpack.ru/local/templates/phoenix_v1/images_cache/thumbs/e7b20c3d712bc8b1035552a43751d098.webp?v=1789932529</t>
  </si>
  <si>
    <t>18cd602f-7f2f-11ec-b73f-0018e40a3af2#009d4c45-0bab-11ef-9f05-00e01a6800eb</t>
  </si>
  <si>
    <t>https://www.test.lavrpack.ru/local/templates/phoenix_v1/images_cache/thumbs/cac7488319757bca9b5c6973c967cd4a.webp?v=1789932525</t>
  </si>
  <si>
    <t>18cd602f-7f2f-11ec-b73f-0018e40a3af2#32af9e69-0bab-11ef-9f05-00e01a6800eb</t>
  </si>
  <si>
    <t>https://www.test.lavrpack.ru/local/templates/phoenix_v1/images_cache/thumbs/baf861169b9e1c93c7b52396e2406bbe.webp?v=1789932525</t>
  </si>
  <si>
    <t>18cd602f-7f2f-11ec-b73f-0018e40a3af2#cc6a4f23-61aa-11ed-bb4b-00e01a6800eb</t>
  </si>
  <si>
    <t>https://www.test.lavrpack.ru/local/templates/phoenix_v1/images_cache/thumbs/0d08595174b78e64ac6796017747c9a4.webp?v=1789932529</t>
  </si>
  <si>
    <t>18cd602f-7f2f-11ec-b73f-0018e40a3af2#6dbb0075-0bab-11ef-9f05-00e01a6800eb</t>
  </si>
  <si>
    <t>https://www.test.lavrpack.ru/local/templates/phoenix_v1/images_cache/thumbs/2c5a4cd4e7695646eb0fd6721f910f30.webp?v=1789911444</t>
  </si>
  <si>
    <t>1f00eb3e-b697-11ee-baea-00e01a6800eb#de4af035-ed9f-11ee-9f05-00e01a6800eb</t>
  </si>
  <si>
    <t>105683</t>
  </si>
  <si>
    <t>Лента атласная "I like you"</t>
  </si>
  <si>
    <t>25мм×25ярд.,</t>
  </si>
  <si>
    <t>https://www.test.lavrpack.ru/local/templates/phoenix_v1/images_cache/thumbs/1d53556e0b7da362f186618107970de1.webp?v=1789963874</t>
  </si>
  <si>
    <t>1b39ec9c-6445-11ee-bc2f-00e01a6800eb#e6205f42-6665-11ee-bc2f-00e01a6800eb</t>
  </si>
  <si>
    <t>104353</t>
  </si>
  <si>
    <t>со снежинками, Золото</t>
  </si>
  <si>
    <t>10мм×25ярд,</t>
  </si>
  <si>
    <t>https://www.test.lavrpack.ru/local/templates/phoenix_v1/images_cache/thumbs/9e789f527fa8a4a2487df0d276ddadce.webp?v=1789911444</t>
  </si>
  <si>
    <t>1b39ec9c-6445-11ee-bc2f-00e01a6800eb#ec1892c5-6665-11ee-bc2f-00e01a6800eb</t>
  </si>
  <si>
    <t>со снежинками, Серебро</t>
  </si>
  <si>
    <t>https://www.test.lavrpack.ru/local/templates/phoenix_v1/images_cache/thumbs/e346523f855365ed3edfe1675929d6f4.webp?v=1789963874</t>
  </si>
  <si>
    <t>a697f904-6447-11ee-bc2f-00e01a6800eb#42fd2e12-6666-11ee-bc2f-00e01a6800eb</t>
  </si>
  <si>
    <t>104355</t>
  </si>
  <si>
    <t>белая, белое серебро</t>
  </si>
  <si>
    <t>https://www.test.lavrpack.ru/local/templates/phoenix_v1/images_cache/thumbs/dbb6d7ca9dca5ae7fa8ff67eb0a9a448.webp?v=1789963886</t>
  </si>
  <si>
    <t>a697f904-6447-11ee-bc2f-00e01a6800eb#4f1b1d38-6666-11ee-bc2f-00e01a6800eb</t>
  </si>
  <si>
    <t>белая, белое золото</t>
  </si>
  <si>
    <t>https://www.test.lavrpack.ru/local/templates/phoenix_v1/images_cache/thumbs/7bb0f02140910ea76fe4f21c0dc25aac.webp?v=1789911453</t>
  </si>
  <si>
    <t>00a1268f-6448-11ee-bc2f-00e01a6800eb#58ef2bc9-6666-11ee-bc2f-00e01a6800eb</t>
  </si>
  <si>
    <t>104356</t>
  </si>
  <si>
    <t>белая , белое золото</t>
  </si>
  <si>
    <t>25мм×25ярд,</t>
  </si>
  <si>
    <t>https://www.test.lavrpack.ru/local/templates/phoenix_v1/images_cache/thumbs/a9e00cfaf52fac573b0374b43ca30c7d.webp?v=1789911443</t>
  </si>
  <si>
    <t>00a1268f-6448-11ee-bc2f-00e01a6800eb#82dea9ce-6666-11ee-bc2f-00e01a6800eb</t>
  </si>
  <si>
    <t>белая , белое серебро</t>
  </si>
  <si>
    <t>https://www.test.lavrpack.ru/local/templates/phoenix_v1/images_cache/thumbs/764c6662850eb3a895184650bdecb6a0.webp?v=1789963874</t>
  </si>
  <si>
    <t>60afd4c6-6446-11ee-bc2f-00e01a6800eb#04112e34-6666-11ee-bc2f-00e01a6800eb</t>
  </si>
  <si>
    <t>104354</t>
  </si>
  <si>
    <t>https://www.test.lavrpack.ru/local/templates/phoenix_v1/images_cache/thumbs/86c462ffc696256112a00a694516fe69.webp?v=1789963883</t>
  </si>
  <si>
    <t>60afd4c6-6446-11ee-bc2f-00e01a6800eb#0bcda718-6666-11ee-bc2f-00e01a6800eb</t>
  </si>
  <si>
    <t>https://www.test.lavrpack.ru/local/templates/phoenix_v1/images_cache/thumbs/19534c388b573278e65af1fa124d1792.webp?v=1789911453</t>
  </si>
  <si>
    <t>68145c1e-9680-11ef-ab37-22344d083d2c#cebc3e3d-4a1c-11f1-ab50-22344d083d2c</t>
  </si>
  <si>
    <t>110215</t>
  </si>
  <si>
    <t>Лента атласная, двухсторонняя "Happy Day"</t>
  </si>
  <si>
    <t>Коричневый</t>
  </si>
  <si>
    <t>2,5см×20yards,</t>
  </si>
  <si>
    <t>https://www.test.lavrpack.ru/local/templates/phoenix_v1/images_cache/thumbs/6c11f7b0b0d1073fca74d8c0ee544b0e.webp?v=1789946152</t>
  </si>
  <si>
    <t>68145c1e-9680-11ef-ab37-22344d083d2c#c4cdd817-4a1c-11f1-ab50-22344d083d2c</t>
  </si>
  <si>
    <t>https://www.test.lavrpack.ru/local/templates/phoenix_v1/images_cache/thumbs/2dfec78d20ba3bdb686a6c7541398ef8.webp?v=1789946152</t>
  </si>
  <si>
    <t>Репсовые, джутовые — 69 поз.</t>
  </si>
  <si>
    <t>6c39a276-9cea-11ef-ab3b-22344d083d2c#a9f2b2b8-9cee-11ef-ab3b-22344d083d2c</t>
  </si>
  <si>
    <t>110389</t>
  </si>
  <si>
    <t>Капучино (147)</t>
  </si>
  <si>
    <t>Репсовая 1см×25ярд</t>
  </si>
  <si>
    <t>https://www.test.lavrpack.ru/local/templates/phoenix_v1/images_cache/thumbs/2498dcbc3b4aa9de8424c84fb4738ffa.webp?v=1789946158</t>
  </si>
  <si>
    <t>6c39a276-9cea-11ef-ab3b-22344d083d2c#91ddec10-9cea-11ef-ab3b-22344d083d2c</t>
  </si>
  <si>
    <t>Графит (07)</t>
  </si>
  <si>
    <t>https://www.test.lavrpack.ru/local/templates/phoenix_v1/images_cache/thumbs/44682fecffe665af87d494f5093ec9a9.webp?v=1789946157</t>
  </si>
  <si>
    <t>6c39a276-9cea-11ef-ab3b-22344d083d2c#4a94ab1c-9ced-11ef-ab3b-22344d083d2c</t>
  </si>
  <si>
    <t>Малиновый (31)</t>
  </si>
  <si>
    <t>https://www.test.lavrpack.ru/local/templates/phoenix_v1/images_cache/thumbs/c2bb68e7de165ae873b66b08dcbcf0fb.webp?v=1789946154</t>
  </si>
  <si>
    <t>6c39a276-9cea-11ef-ab3b-22344d083d2c#e9a4d0a8-9ced-11ef-ab3b-22344d083d2c</t>
  </si>
  <si>
    <t>Тиффани (51)</t>
  </si>
  <si>
    <t>https://www.test.lavrpack.ru/local/templates/phoenix_v1/images_cache/thumbs/79364b67f06eb89409d72e7ba87e980c.webp?v=1789946159</t>
  </si>
  <si>
    <t>6c39a276-9cea-11ef-ab3b-22344d083d2c#b7e357f9-9cea-11ef-ab3b-22344d083d2c</t>
  </si>
  <si>
    <t>Розовый (14)</t>
  </si>
  <si>
    <t>https://www.test.lavrpack.ru/local/templates/phoenix_v1/images_cache/thumbs/4b92dadf59c23b9bcd8658a3a19ff7c2.webp?v=1789946159</t>
  </si>
  <si>
    <t>6c39a276-9cea-11ef-ab3b-22344d083d2c#97d00b6e-9ced-11ef-ab3b-22344d083d2c</t>
  </si>
  <si>
    <t>Алый (38)</t>
  </si>
  <si>
    <t>https://www.test.lavrpack.ru/local/templates/phoenix_v1/images_cache/thumbs/bcabe25226b7b4c110c6ffc15fd6fdbf.webp?v=1789946157</t>
  </si>
  <si>
    <t>6c39a276-9cea-11ef-ab3b-22344d083d2c#979b49ad-9cee-11ef-ab3b-22344d083d2c</t>
  </si>
  <si>
    <t>Барби (146)</t>
  </si>
  <si>
    <t>https://www.test.lavrpack.ru/local/templates/phoenix_v1/images_cache/thumbs/4d9681409d2eb03d370feb2a0b77b217.webp?v=1789946157</t>
  </si>
  <si>
    <t>6c39a276-9cea-11ef-ab3b-22344d083d2c#78a2aa03-9cea-11ef-ab3b-22344d083d2c</t>
  </si>
  <si>
    <t>Слоновая кость (04)</t>
  </si>
  <si>
    <t>https://www.test.lavrpack.ru/local/templates/phoenix_v1/images_cache/thumbs/a52cf036f745e658ab871bdf98def53d.webp?v=1789946155</t>
  </si>
  <si>
    <t>6c39a276-9cea-11ef-ab3b-22344d083d2c#0fb365f7-9ceb-11ef-ab3b-22344d083d2c</t>
  </si>
  <si>
    <t>Лиловый (17)</t>
  </si>
  <si>
    <t>https://www.test.lavrpack.ru/local/templates/phoenix_v1/images_cache/thumbs/8551707b13b100763dda4e687c693461.webp?v=1789946153</t>
  </si>
  <si>
    <t>6c39a276-9cea-11ef-ab3b-22344d083d2c#78a5710d-9ced-11ef-ab3b-22344d083d2c</t>
  </si>
  <si>
    <t>Пурпурный (33)</t>
  </si>
  <si>
    <t>https://www.test.lavrpack.ru/local/templates/phoenix_v1/images_cache/thumbs/076706fd05b8f47b523ceacecd427cff.webp?v=1789946156</t>
  </si>
  <si>
    <t>6c39a276-9cea-11ef-ab3b-22344d083d2c#2cf7481b-9cee-11ef-ab3b-22344d083d2c</t>
  </si>
  <si>
    <t>Сиреневый (72)</t>
  </si>
  <si>
    <t>https://www.test.lavrpack.ru/local/templates/phoenix_v1/images_cache/thumbs/a997d88c5c0777b758ab47ebb4848166.webp?v=1789946153</t>
  </si>
  <si>
    <t>6c39a276-9cea-11ef-ab3b-22344d083d2c#8ace18cf-9cea-11ef-ab3b-22344d083d2c</t>
  </si>
  <si>
    <t>Черный (06)</t>
  </si>
  <si>
    <t>https://www.test.lavrpack.ru/local/templates/phoenix_v1/images_cache/thumbs/ef6f6915b450752b1e64ad1c943b4307.webp?v=1789946156</t>
  </si>
  <si>
    <t>6c39a276-9cea-11ef-ab3b-22344d083d2c#aa11581a-9ced-11ef-ab3b-22344d083d2c</t>
  </si>
  <si>
    <t>Черешня (44)</t>
  </si>
  <si>
    <t>https://www.test.lavrpack.ru/local/templates/phoenix_v1/images_cache/thumbs/99739e8da53a9af4ef1b980dfd747ab8.webp?v=1789946158</t>
  </si>
  <si>
    <t>6c39a276-9cea-11ef-ab3b-22344d083d2c#f02e1a91-9ced-11ef-ab3b-22344d083d2c</t>
  </si>
  <si>
    <t>Синий (64)</t>
  </si>
  <si>
    <t>https://www.test.lavrpack.ru/local/templates/phoenix_v1/images_cache/thumbs/2b0736bf1bec1cfd4c7e153b546651cf.webp?v=1789946159</t>
  </si>
  <si>
    <t>6c39a276-9cea-11ef-ab3b-22344d083d2c#0e8afae2-9cee-11ef-ab3b-22344d083d2c</t>
  </si>
  <si>
    <t>Лаванда (69)</t>
  </si>
  <si>
    <t>https://www.test.lavrpack.ru/local/templates/phoenix_v1/images_cache/thumbs/47db439ab4ea9edc1984e25b0834d7fc.webp?v=1789946153</t>
  </si>
  <si>
    <t>6c39a276-9cea-11ef-ab3b-22344d083d2c#8b336936-9cee-11ef-ab3b-22344d083d2c</t>
  </si>
  <si>
    <t>Светло-сиреневый (122)</t>
  </si>
  <si>
    <t>https://www.test.lavrpack.ru/local/templates/phoenix_v1/images_cache/thumbs/a64c603951d12d0d76832bc0055cf0b6.webp?v=1789946157</t>
  </si>
  <si>
    <t>6c39a276-9cea-11ef-ab3b-22344d083d2c#56d9f57e-9ced-11ef-ab3b-22344d083d2c</t>
  </si>
  <si>
    <t>Орхидея (32)</t>
  </si>
  <si>
    <t>https://www.test.lavrpack.ru/local/templates/phoenix_v1/images_cache/thumbs/5d7424e69708d0e365e930e4168c7269.webp?v=1789946155</t>
  </si>
  <si>
    <t>6c39a276-9cea-11ef-ab3b-22344d083d2c#d69745b3-9ced-11ef-ab3b-22344d083d2c</t>
  </si>
  <si>
    <t>Сливовый (46)</t>
  </si>
  <si>
    <t>https://www.test.lavrpack.ru/local/templates/phoenix_v1/images_cache/thumbs/e5a56949c84e966ccf42743d7678734d.webp?v=1789946159</t>
  </si>
  <si>
    <t>6c39a276-9cea-11ef-ab3b-22344d083d2c#6aad51a4-9cee-11ef-ab3b-22344d083d2c</t>
  </si>
  <si>
    <t>Зеленый (88)</t>
  </si>
  <si>
    <t>https://www.test.lavrpack.ru/local/templates/phoenix_v1/images_cache/thumbs/2d4abf58028587bd4c3a71e59227ffe5.webp?v=1789946155</t>
  </si>
  <si>
    <t>6c39a276-9cea-11ef-ab3b-22344d083d2c#9816cfa1-9cea-11ef-ab3b-22344d083d2c</t>
  </si>
  <si>
    <t>Персик (10)</t>
  </si>
  <si>
    <t>https://www.test.lavrpack.ru/local/templates/phoenix_v1/images_cache/thumbs/984095e169479f74eb3f3d75282eca6f.webp?v=1789946157</t>
  </si>
  <si>
    <t>6c39a276-9cea-11ef-ab3b-22344d083d2c#20f26ebc-9cee-11ef-ab3b-22344d083d2c</t>
  </si>
  <si>
    <t>Фиолетовый (71)</t>
  </si>
  <si>
    <t>https://www.test.lavrpack.ru/local/templates/phoenix_v1/images_cache/thumbs/581701d814e93b96cc18c080e7aac8a8.webp?v=1789946153</t>
  </si>
  <si>
    <t>6c39a276-9cea-11ef-ab3b-22344d083d2c#4c24b41f-9cee-11ef-ab3b-22344d083d2c</t>
  </si>
  <si>
    <t>Травяной (80)</t>
  </si>
  <si>
    <t>https://www.test.lavrpack.ru/local/templates/phoenix_v1/images_cache/thumbs/e8eca9e0bd1d79d00561624206f95ec6.webp?v=1789946154</t>
  </si>
  <si>
    <t>6c39a276-9cea-11ef-ab3b-22344d083d2c#4492672b-9ced-11ef-ab3b-22344d083d2c</t>
  </si>
  <si>
    <t>Сакура (23)</t>
  </si>
  <si>
    <t>https://www.test.lavrpack.ru/local/templates/phoenix_v1/images_cache/thumbs/0fe3656892df95f42b3ffed425bb33ee.webp?v=1789946154</t>
  </si>
  <si>
    <t>6c39a276-9cea-11ef-ab3b-22344d083d2c#7e9b80a1-9cea-11ef-ab3b-22344d083d2c</t>
  </si>
  <si>
    <t>Белый (05)</t>
  </si>
  <si>
    <t>https://www.test.lavrpack.ru/local/templates/phoenix_v1/images_cache/thumbs/66acfa9ff5ad9b6a2880e92904c4cbb7.webp?v=1789946156</t>
  </si>
  <si>
    <t>6c39a276-9cea-11ef-ab3b-22344d083d2c#9e342aef-9cea-11ef-ab3b-22344d083d2c</t>
  </si>
  <si>
    <t>Нежно-розовый (11)</t>
  </si>
  <si>
    <t>https://www.test.lavrpack.ru/local/templates/phoenix_v1/images_cache/thumbs/dba972134aa3ce9159fd95f5720b75aa.webp?v=1789946158</t>
  </si>
  <si>
    <t>6c39a276-9cea-11ef-ab3b-22344d083d2c#dcd38bdf-9ced-11ef-ab3b-22344d083d2c</t>
  </si>
  <si>
    <t>Небесный (48)</t>
  </si>
  <si>
    <t>https://www.test.lavrpack.ru/local/templates/phoenix_v1/images_cache/thumbs/064cadc7a82727d1066401cd30b5a2a8.webp?v=1789946159</t>
  </si>
  <si>
    <t>6c39a276-9cea-11ef-ab3b-22344d083d2c#3998670b-9cee-11ef-ab3b-22344d083d2c</t>
  </si>
  <si>
    <t>Мятный (77)</t>
  </si>
  <si>
    <t>https://www.test.lavrpack.ru/local/templates/phoenix_v1/images_cache/thumbs/7e18cc61ecce13aafa14db52e570cc95.webp?v=1789946154</t>
  </si>
  <si>
    <t>6c39a276-9cea-11ef-ab3b-22344d083d2c#5e74d467-9cee-11ef-ab3b-22344d083d2c</t>
  </si>
  <si>
    <t>Оливковый (82)</t>
  </si>
  <si>
    <t>https://www.test.lavrpack.ru/local/templates/phoenix_v1/images_cache/thumbs/bfe3b5757000bf7177cef6e5271acb91.webp?v=1789946155</t>
  </si>
  <si>
    <t>6c39a276-9cea-11ef-ab3b-22344d083d2c#9dcaf100-9ced-11ef-ab3b-22344d083d2c</t>
  </si>
  <si>
    <t>Красный (40)</t>
  </si>
  <si>
    <t>https://www.test.lavrpack.ru/local/templates/phoenix_v1/images_cache/thumbs/10ecd19e0b27d47255686f8873832de5.webp?v=1789946158</t>
  </si>
  <si>
    <t>6c39a276-9cea-11ef-ab3b-22344d083d2c#7ed8293e-9cee-11ef-ab3b-22344d083d2c</t>
  </si>
  <si>
    <t>Шоколадный (119)</t>
  </si>
  <si>
    <t>https://www.test.lavrpack.ru/local/templates/phoenix_v1/images_cache/thumbs/095bc5d7ec10302dd56c76df22fc4674.webp?v=1789946156</t>
  </si>
  <si>
    <t>50503d04-7f2b-11ec-b73f-0018e40a3af2</t>
  </si>
  <si>
    <t>54601</t>
  </si>
  <si>
    <t>Китай</t>
  </si>
  <si>
    <t>Репсовая 2,5см.×25ярд. с принтом в ассорт</t>
  </si>
  <si>
    <t>https://www.test.lavrpack.ru/local/templates/phoenix_v1/images_cache/thumbs/513e7a595634152595cd6d6450b10887.webp?v=1789963863</t>
  </si>
  <si>
    <t>68a62707-7f2b-11ec-b73f-0018e40a3af2</t>
  </si>
  <si>
    <t>49489</t>
  </si>
  <si>
    <t>Репсовая 2,5см.×25ярд</t>
  </si>
  <si>
    <t>https://www.test.lavrpack.ru/local/templates/phoenix_v1/images_cache/thumbs/842df6f2f6918013f8a4e0b8292c83c0.webp?v=1789963866</t>
  </si>
  <si>
    <t>0b8b00e2-9ce6-11ef-ab3b-22344d083d2c#c68dd49d-9ce6-11ef-ab3b-22344d083d2c</t>
  </si>
  <si>
    <t>110388</t>
  </si>
  <si>
    <t>Репсовая 2,5см×25ярд</t>
  </si>
  <si>
    <t>https://www.test.lavrpack.ru/local/templates/phoenix_v1/images_cache/thumbs/6a055c03a93cd7a3c1b12ceac7d8604b.webp?v=1789946149</t>
  </si>
  <si>
    <t>0b8b00e2-9ce6-11ef-ab3b-22344d083d2c#ba61b7b1-9ce6-11ef-ab3b-22344d083d2c</t>
  </si>
  <si>
    <t>https://www.test.lavrpack.ru/local/templates/phoenix_v1/images_cache/thumbs/9b93161485acb4efb919838beea0c9ea.webp?v=1789946149</t>
  </si>
  <si>
    <t>0b8b00e2-9ce6-11ef-ab3b-22344d083d2c#dea71187-9ce6-11ef-ab3b-22344d083d2c</t>
  </si>
  <si>
    <t>https://www.test.lavrpack.ru/local/templates/phoenix_v1/images_cache/thumbs/11f1cf31093f3fd3ace4af8f6448c78b.webp?v=1789946150</t>
  </si>
  <si>
    <t>0b8b00e2-9ce6-11ef-ab3b-22344d083d2c#55942d9e-9ce6-11ef-ab3b-22344d083d2c</t>
  </si>
  <si>
    <t>https://www.test.lavrpack.ru/local/templates/phoenix_v1/images_cache/thumbs/5ca17d2d1f7d27ae943886ed29a65d1e.webp?v=1789946146</t>
  </si>
  <si>
    <t>0b8b00e2-9ce6-11ef-ab3b-22344d083d2c#2a8cc5fd-9ce6-11ef-ab3b-22344d083d2c</t>
  </si>
  <si>
    <t>https://www.test.lavrpack.ru/local/templates/phoenix_v1/images_cache/thumbs/101d331eb952f69baf4cf96ee87ada84.webp?v=1789946145</t>
  </si>
  <si>
    <t>0b8b00e2-9ce6-11ef-ab3b-22344d083d2c#69a40374-9ce6-11ef-ab3b-22344d083d2c</t>
  </si>
  <si>
    <t>https://www.test.lavrpack.ru/local/templates/phoenix_v1/images_cache/thumbs/a73b3f4e20b4c45fdf69116900398367.webp?v=1789946147</t>
  </si>
  <si>
    <t>0b8b00e2-9ce6-11ef-ab3b-22344d083d2c#fcf46029-9ce6-11ef-ab3b-22344d083d2c</t>
  </si>
  <si>
    <t>https://www.test.lavrpack.ru/local/templates/phoenix_v1/images_cache/thumbs/e291aee688c91eb7db5a499875bf04a9.webp?v=1789946151</t>
  </si>
  <si>
    <t>0b8b00e2-9ce6-11ef-ab3b-22344d083d2c#75da0766-9ce6-11ef-ab3b-22344d083d2c</t>
  </si>
  <si>
    <t>https://www.test.lavrpack.ru/local/templates/phoenix_v1/images_cache/thumbs/06b3c892199776df7d85d87bbdf81e61.webp?v=1789946147</t>
  </si>
  <si>
    <t>0b8b00e2-9ce6-11ef-ab3b-22344d083d2c#497952d5-9ce6-11ef-ab3b-22344d083d2c</t>
  </si>
  <si>
    <t>https://www.test.lavrpack.ru/local/templates/phoenix_v1/images_cache/thumbs/82b3a999f36ef561df1c75f88e634178.webp?v=1789946146</t>
  </si>
  <si>
    <t>0b8b00e2-9ce6-11ef-ab3b-22344d083d2c#6fccbba5-9ce6-11ef-ab3b-22344d083d2c</t>
  </si>
  <si>
    <t>https://www.test.lavrpack.ru/local/templates/phoenix_v1/images_cache/thumbs/2cea2ae985358a77c1dcc47f215043a7.webp?v=1789946147</t>
  </si>
  <si>
    <t>0b8b00e2-9ce6-11ef-ab3b-22344d083d2c#e4b657f1-9ce6-11ef-ab3b-22344d083d2c</t>
  </si>
  <si>
    <t>https://www.test.lavrpack.ru/local/templates/phoenix_v1/images_cache/thumbs/d0b0e76c9c21ab5f4de06765f50eae58.webp?v=1789946150</t>
  </si>
  <si>
    <t>0b8b00e2-9ce6-11ef-ab3b-22344d083d2c#a16f9ab1-9ce6-11ef-ab3b-22344d083d2c</t>
  </si>
  <si>
    <t>https://www.test.lavrpack.ru/local/templates/phoenix_v1/images_cache/thumbs/2e23b20838374e90c8181b5ee0d7c2e2.webp?v=1789946148</t>
  </si>
  <si>
    <t>0b8b00e2-9ce6-11ef-ab3b-22344d083d2c#88f80bb2-9ce6-11ef-ab3b-22344d083d2c</t>
  </si>
  <si>
    <t>https://www.test.lavrpack.ru/local/templates/phoenix_v1/images_cache/thumbs/b9a2636a948f03c5427f16f2bd2835ba.webp?v=1789946148</t>
  </si>
  <si>
    <t>0b8b00e2-9ce6-11ef-ab3b-22344d083d2c#eaba0c9f-9ce6-11ef-ab3b-22344d083d2c</t>
  </si>
  <si>
    <t>https://www.test.lavrpack.ru/local/templates/phoenix_v1/images_cache/thumbs/62848d1c5ddfeefee1f1b50c22b52912.webp?v=1789946150</t>
  </si>
  <si>
    <t>0b8b00e2-9ce6-11ef-ab3b-22344d083d2c#638b5924-9ce6-11ef-ab3b-22344d083d2c</t>
  </si>
  <si>
    <t>https://www.test.lavrpack.ru/local/templates/phoenix_v1/images_cache/thumbs/48fd989fdf99dca2ae1b7838b3d35509.webp?v=1789946146</t>
  </si>
  <si>
    <t>0b8b00e2-9ce6-11ef-ab3b-22344d083d2c#d8a65939-9ce6-11ef-ab3b-22344d083d2c</t>
  </si>
  <si>
    <t>https://www.test.lavrpack.ru/local/templates/phoenix_v1/images_cache/thumbs/c095e9e7d0f0a291e8608318a15df93b.webp?v=1789946149</t>
  </si>
  <si>
    <t>0b8b00e2-9ce6-11ef-ab3b-22344d083d2c#24927993-9ce6-11ef-ab3b-22344d083d2c</t>
  </si>
  <si>
    <t>https://www.test.lavrpack.ru/local/templates/phoenix_v1/images_cache/thumbs/2bd6ed43549c34de292e99ab6267cdba.webp?v=1789946145</t>
  </si>
  <si>
    <t>0b8b00e2-9ce6-11ef-ab3b-22344d083d2c#82d7e9cf-9ce6-11ef-ab3b-22344d083d2c</t>
  </si>
  <si>
    <t>https://www.test.lavrpack.ru/local/templates/phoenix_v1/images_cache/thumbs/bc184ac492173167a83368844adfe119.webp?v=1789946147</t>
  </si>
  <si>
    <t>0b8b00e2-9ce6-11ef-ab3b-22344d083d2c#c07d20f3-9ce6-11ef-ab3b-22344d083d2c</t>
  </si>
  <si>
    <t>https://www.test.lavrpack.ru/local/templates/phoenix_v1/images_cache/thumbs/3f115b4c5ae48bdebf9339a65802b218.webp?v=1789946149</t>
  </si>
  <si>
    <t>0b8b00e2-9ce6-11ef-ab3b-22344d083d2c#d2ab1d62-9ce6-11ef-ab3b-22344d083d2c</t>
  </si>
  <si>
    <t>https://www.test.lavrpack.ru/local/templates/phoenix_v1/images_cache/thumbs/c77a502c123d92716d79d4b39b78c6e8.webp?v=1789946149</t>
  </si>
  <si>
    <t>0b8b00e2-9ce6-11ef-ab3b-22344d083d2c#9572c191-9ce6-11ef-ab3b-22344d083d2c</t>
  </si>
  <si>
    <t>https://www.test.lavrpack.ru/local/templates/phoenix_v1/images_cache/thumbs/bde2fe0df94f702b3fcf6cdce6f2ebac.webp?v=1789946148</t>
  </si>
  <si>
    <t>0b8b00e2-9ce6-11ef-ab3b-22344d083d2c#309e6e49-9ce6-11ef-ab3b-22344d083d2c</t>
  </si>
  <si>
    <t>https://www.test.lavrpack.ru/local/templates/phoenix_v1/images_cache/thumbs/832c81b148155eee6fce03e87300e005.webp?v=1789946145</t>
  </si>
  <si>
    <t>0b8b00e2-9ce6-11ef-ab3b-22344d083d2c#4f7c5cf1-9ce6-11ef-ab3b-22344d083d2c</t>
  </si>
  <si>
    <t>https://www.test.lavrpack.ru/local/templates/phoenix_v1/images_cache/thumbs/5fca731720bfaa6736b43c7fcb9f718b.webp?v=1789946146</t>
  </si>
  <si>
    <t>0b8b00e2-9ce6-11ef-ab3b-22344d083d2c#0338a919-9ce7-11ef-ab3b-22344d083d2c</t>
  </si>
  <si>
    <t>https://www.test.lavrpack.ru/local/templates/phoenix_v1/images_cache/thumbs/666d790971755c8fc8929a3f269fc8d8.webp?v=1789946145</t>
  </si>
  <si>
    <t>0b8b00e2-9ce6-11ef-ab3b-22344d083d2c#9b6c575c-9ce6-11ef-ab3b-22344d083d2c</t>
  </si>
  <si>
    <t>https://www.test.lavrpack.ru/local/templates/phoenix_v1/images_cache/thumbs/65cf952027d33cb511f49164437da0f5.webp?v=1789946148</t>
  </si>
  <si>
    <t>0b8b00e2-9ce6-11ef-ab3b-22344d083d2c#f6e8eb21-9ce6-11ef-ab3b-22344d083d2c</t>
  </si>
  <si>
    <t>https://www.test.lavrpack.ru/local/templates/phoenix_v1/images_cache/thumbs/9aaf2f7b176a0267e0f6d812c8d2ab5d.webp?v=1789946150</t>
  </si>
  <si>
    <t>225c5cf2-2ca6-11ef-a848-00e01a6800eb</t>
  </si>
  <si>
    <t>108195</t>
  </si>
  <si>
    <t>Репсовая 2,5см×25ярд. ежевичный</t>
  </si>
  <si>
    <t>3db57651-928a-11ee-a8ad-00e01a6800eb</t>
  </si>
  <si>
    <t>105241</t>
  </si>
  <si>
    <t>Репсовая 2,5см×25ярд. лаванда</t>
  </si>
  <si>
    <t>https://www.test.lavrpack.ru/local/templates/phoenix_v1/images_cache/thumbs/5bdebfe6bfdfec864b2a3b436b4191ab.webp?v=1789946142</t>
  </si>
  <si>
    <t>3967f723-dcc8-11ec-bc66-00e01a6800eb</t>
  </si>
  <si>
    <t>71383</t>
  </si>
  <si>
    <t>Репсовая 2,5см×25ярд. лиловый</t>
  </si>
  <si>
    <t>https://www.test.lavrpack.ru/local/templates/phoenix_v1/images_cache/thumbs/25c71a5ae655702639c59df8f5b1c91e.webp?v=1789963860</t>
  </si>
  <si>
    <t>1c6493db-928a-11ee-a8ad-00e01a6800eb</t>
  </si>
  <si>
    <t>105240</t>
  </si>
  <si>
    <t>Репсовая 2,5см×25ярд. малиновый</t>
  </si>
  <si>
    <t>https://www.test.lavrpack.ru/local/templates/phoenix_v1/images_cache/thumbs/4f42b6b2c8b2c55899dc15f6b95592d9.webp?v=1789946142</t>
  </si>
  <si>
    <t>60510542-9591-11ed-bb4b-00e01a6800eb</t>
  </si>
  <si>
    <t>78025</t>
  </si>
  <si>
    <t>Репсовая 2,5см×25ярд. мятный</t>
  </si>
  <si>
    <t>https://www.test.lavrpack.ru/local/templates/phoenix_v1/images_cache/thumbs/87a1e6f0d1093e71bfdd2f5a46211628.webp?v=1789963865</t>
  </si>
  <si>
    <t>2743b5f7-dcc8-11ec-bc66-00e01a6800eb</t>
  </si>
  <si>
    <t>71382</t>
  </si>
  <si>
    <t>Репсовая 2,5см×25ярд. пастельный зеленый</t>
  </si>
  <si>
    <t>https://www.test.lavrpack.ru/local/templates/phoenix_v1/images_cache/thumbs/d873b51c900d225e8ba64d59504b0b5f.webp?v=1789963859</t>
  </si>
  <si>
    <t>d3a9f24b-b696-11ee-baea-00e01a6800eb</t>
  </si>
  <si>
    <t>105682</t>
  </si>
  <si>
    <t>Репсовая 2,5см×25ярд. розовая камелия</t>
  </si>
  <si>
    <t>https://www.test.lavrpack.ru/local/templates/phoenix_v1/images_cache/thumbs/177d38494e7489869f6815442b7f7a2a.webp?v=1789963871</t>
  </si>
  <si>
    <t>8335dc14-2ca5-11ef-a848-00e01a6800eb</t>
  </si>
  <si>
    <t>108194</t>
  </si>
  <si>
    <t>Репсовая 2,5см×25ярд. чайная роза</t>
  </si>
  <si>
    <t>fc3d3d67-9289-11ee-a8ad-00e01a6800eb</t>
  </si>
  <si>
    <t>105239</t>
  </si>
  <si>
    <t>Репсовая 2,5см×25ярд. ярко-розовый</t>
  </si>
  <si>
    <t>https://www.test.lavrpack.ru/local/templates/phoenix_v1/images_cache/thumbs/12afdf4288c64343add6dc4cc81d5ac8.webp?v=1789946145</t>
  </si>
  <si>
    <t>45391508-644e-11ee-bc2f-00e01a6800eb</t>
  </si>
  <si>
    <t>104360</t>
  </si>
  <si>
    <t>Лента Репсовая</t>
  </si>
  <si>
    <t>зеленая со снежинками</t>
  </si>
  <si>
    <t>1см×25ярд.,</t>
  </si>
  <si>
    <t>https://www.test.lavrpack.ru/local/templates/phoenix_v1/images_cache/thumbs/d3701a127d45e8847f1b308dfaeca83e.webp?v=1789963862</t>
  </si>
  <si>
    <t>20b7bd9a-644e-11ee-bc2f-00e01a6800eb</t>
  </si>
  <si>
    <t>104359</t>
  </si>
  <si>
    <t>2,5см×25ярд.,</t>
  </si>
  <si>
    <t>https://www.test.lavrpack.ru/local/templates/phoenix_v1/images_cache/thumbs/63abd8600b7447e3af24fc7b031ab3a6.webp?v=1789963859</t>
  </si>
  <si>
    <t>Органза — 47 поз.</t>
  </si>
  <si>
    <t>4fc170d7-7f2a-11ec-b73f-0018e40a3af2</t>
  </si>
  <si>
    <t>8881</t>
  </si>
  <si>
    <t>Корея</t>
  </si>
  <si>
    <t>органза с кантом 2,5см.×25ярд</t>
  </si>
  <si>
    <t>https://www.test.lavrpack.ru/local/templates/phoenix_v1/images_cache/thumbs/08502aacb286136438b741f3c63d5567.webp?v=1789946143</t>
  </si>
  <si>
    <t>a4daaa07-7f2a-11ec-b73f-0018e40a3af2</t>
  </si>
  <si>
    <t>32713</t>
  </si>
  <si>
    <t>органза с цветным рисунком в ассорт., Китай</t>
  </si>
  <si>
    <t>https://www.test.lavrpack.ru/local/templates/phoenix_v1/images_cache/thumbs/17954a419f3bc687d0ce221bd915a765.webp?v=1789963869</t>
  </si>
  <si>
    <t>f6732656-be44-11ed-8100-00e01a6800eb#0d532d72-be45-11ed-8100-00e01a6800eb</t>
  </si>
  <si>
    <t>80681</t>
  </si>
  <si>
    <t>Лента органза</t>
  </si>
  <si>
    <t>Светло розовый</t>
  </si>
  <si>
    <t>"Крапинка" 2см×15ярд</t>
  </si>
  <si>
    <t>https://www.test.lavrpack.ru/local/templates/phoenix_v1/images_cache/thumbs/bc50ffbef58094187e489bbd6f0f24ea.webp?v=1789946166</t>
  </si>
  <si>
    <t>92af6b47-efe6-11ee-9f05-00e01a6800eb#0fff5003-4d20-11f1-ab50-22344d083d2c</t>
  </si>
  <si>
    <t>106993</t>
  </si>
  <si>
    <t>Светло-розовый</t>
  </si>
  <si>
    <t>"Крапинка" 4см×15ярд</t>
  </si>
  <si>
    <t>https://www.test.lavrpack.ru/local/templates/phoenix_v1/images_cache/thumbs/77b738a740b9c112efa4c9434cea3526.webp?v=1789946160</t>
  </si>
  <si>
    <t>e314c4c4-9281-11ee-a8ad-00e01a6800eb#0ad44518-686b-11f0-ab47-22344d083d2c</t>
  </si>
  <si>
    <t>105223</t>
  </si>
  <si>
    <t>Китай, Мокко</t>
  </si>
  <si>
    <t>https://www.test.lavrpack.ru/local/templates/phoenix_v1/images_cache/thumbs/813ee3b23b4da52540e78b5c358f9106.webp?v=1789946161</t>
  </si>
  <si>
    <t>e314c4c4-9281-11ee-a8ad-00e01a6800eb#04f47a5c-9282-11ee-a8ad-00e01a6800eb</t>
  </si>
  <si>
    <t>Китай, Белый</t>
  </si>
  <si>
    <t>https://www.test.lavrpack.ru/local/templates/phoenix_v1/images_cache/thumbs/2f0a19bd3a186fd94ae089c9a0eaf31d.webp?v=1789911453</t>
  </si>
  <si>
    <t>e314c4c4-9281-11ee-a8ad-00e01a6800eb#fdd542be-686a-11f0-ab47-22344d083d2c</t>
  </si>
  <si>
    <t>Китай, Оливковый</t>
  </si>
  <si>
    <t>https://www.test.lavrpack.ru/local/templates/phoenix_v1/images_cache/thumbs/0781c71efd7781dcf016b9bec5b2f81e.webp?v=1789946165</t>
  </si>
  <si>
    <t>e314c4c4-9281-11ee-a8ad-00e01a6800eb#8bfaaaa7-84ca-11f1-ab51-22344d083d2c</t>
  </si>
  <si>
    <t>Китай, Аквамарин</t>
  </si>
  <si>
    <t>https://www.test.lavrpack.ru/local/templates/phoenix_v1/images_cache/thumbs/3142e91901aa5814a642bc6c5ba9c3fa.webp?v=1789946167</t>
  </si>
  <si>
    <t>e314c4c4-9281-11ee-a8ad-00e01a6800eb#b49c4ca2-9282-11ee-a8ad-00e01a6800eb</t>
  </si>
  <si>
    <t>Китай, Бургундский</t>
  </si>
  <si>
    <t>https://www.test.lavrpack.ru/local/templates/phoenix_v1/images_cache/thumbs/6217ccd4dee871344264c7f0bd5a94ea.webp?v=1789946164</t>
  </si>
  <si>
    <t>e314c4c4-9281-11ee-a8ad-00e01a6800eb#e5667758-9283-11ee-a8ad-00e01a6800eb</t>
  </si>
  <si>
    <t>Китай, Жемчужный</t>
  </si>
  <si>
    <t>https://www.test.lavrpack.ru/local/templates/phoenix_v1/images_cache/thumbs/6f75eda1128529cc235dea6b0df2c309.webp?v=1789946164</t>
  </si>
  <si>
    <t>e314c4c4-9281-11ee-a8ad-00e01a6800eb#1dd8bdbf-9282-11ee-a8ad-00e01a6800eb</t>
  </si>
  <si>
    <t>Китай, Пудра</t>
  </si>
  <si>
    <t>https://www.test.lavrpack.ru/local/templates/phoenix_v1/images_cache/thumbs/db16096565fdc89d367d40cd59e87b3e.webp?v=1789946162</t>
  </si>
  <si>
    <t>e314c4c4-9281-11ee-a8ad-00e01a6800eb#db8e64af-b695-11ee-baea-00e01a6800eb</t>
  </si>
  <si>
    <t>Китай, Персиковый</t>
  </si>
  <si>
    <t>https://www.test.lavrpack.ru/local/templates/phoenix_v1/images_cache/thumbs/2e286d62d22d3f0f80e9dc64644a6f06.webp?v=1789946164</t>
  </si>
  <si>
    <t>e314c4c4-9281-11ee-a8ad-00e01a6800eb#52c374bf-9282-11ee-a8ad-00e01a6800eb</t>
  </si>
  <si>
    <t>Китай, Фуксия</t>
  </si>
  <si>
    <t>https://www.test.lavrpack.ru/local/templates/phoenix_v1/images_cache/thumbs/653d9053dc19876371a339eb4801fe99.webp?v=1789946163</t>
  </si>
  <si>
    <t>e314c4c4-9281-11ee-a8ad-00e01a6800eb#f01e7029-686a-11f0-ab47-22344d083d2c</t>
  </si>
  <si>
    <t>Китай, Небесный</t>
  </si>
  <si>
    <t>https://www.test.lavrpack.ru/local/templates/phoenix_v1/images_cache/thumbs/0cffdefdf4e779978b904aa5e94daec4.webp?v=1789946165</t>
  </si>
  <si>
    <t>e314c4c4-9281-11ee-a8ad-00e01a6800eb#417a56a2-9282-11ee-a8ad-00e01a6800eb</t>
  </si>
  <si>
    <t>Китай, Розовый</t>
  </si>
  <si>
    <t>https://www.test.lavrpack.ru/local/templates/phoenix_v1/images_cache/thumbs/bbcd4858a3715224ebc4b4faf4832488.webp?v=1789946162</t>
  </si>
  <si>
    <t>e314c4c4-9281-11ee-a8ad-00e01a6800eb#1817f49b-686b-11f0-ab47-22344d083d2c</t>
  </si>
  <si>
    <t>Китай, Черный</t>
  </si>
  <si>
    <t>https://www.test.lavrpack.ru/local/templates/phoenix_v1/images_cache/thumbs/f10e0384c6a1eb3a26b6d7f8b4692596.webp?v=1789946161</t>
  </si>
  <si>
    <t>e314c4c4-9281-11ee-a8ad-00e01a6800eb#03c6ca4d-edc3-11ee-9f05-00e01a6800eb</t>
  </si>
  <si>
    <t>Китай, Бежевый</t>
  </si>
  <si>
    <t>https://www.test.lavrpack.ru/local/templates/phoenix_v1/images_cache/thumbs/e81cb6ce2eddb4f26b3151ee4e34cbe9.webp?v=1789946161</t>
  </si>
  <si>
    <t>e314c4c4-9281-11ee-a8ad-00e01a6800eb#71f79101-ed9f-11ee-9f05-00e01a6800eb</t>
  </si>
  <si>
    <t>Китай, Лаванда</t>
  </si>
  <si>
    <t>https://www.test.lavrpack.ru/local/templates/phoenix_v1/images_cache/thumbs/3243bf2dc527430350d178fffcfc98db.webp?v=1789946163</t>
  </si>
  <si>
    <t>e314c4c4-9281-11ee-a8ad-00e01a6800eb#626c0268-9282-11ee-a8ad-00e01a6800eb</t>
  </si>
  <si>
    <t>Китай, Ярко-сиреневый</t>
  </si>
  <si>
    <t>https://www.test.lavrpack.ru/local/templates/phoenix_v1/images_cache/thumbs/7fe076ed092d1a6628afe17f074b067e.webp?v=1789946163</t>
  </si>
  <si>
    <t>e314c4c4-9281-11ee-a8ad-00e01a6800eb#7829b83e-84ca-11f1-ab51-22344d083d2c</t>
  </si>
  <si>
    <t>Китай, Золотой</t>
  </si>
  <si>
    <t>e314c4c4-9281-11ee-a8ad-00e01a6800eb#71a9716e-9282-11ee-a8ad-00e01a6800eb</t>
  </si>
  <si>
    <t>Китай, Красный</t>
  </si>
  <si>
    <t>https://www.test.lavrpack.ru/local/templates/phoenix_v1/images_cache/thumbs/e6cd913e2f4d1ef2616b872fac77e1fc.webp?v=1789946163</t>
  </si>
  <si>
    <t>e314c4c4-9281-11ee-a8ad-00e01a6800eb#8206e7ae-9282-11ee-a8ad-00e01a6800eb</t>
  </si>
  <si>
    <t>Китай, Брусничный</t>
  </si>
  <si>
    <t>https://www.test.lavrpack.ru/local/templates/phoenix_v1/images_cache/thumbs/b96a2caccc0e54f83bc3b142c96079fa.webp?v=1789946164</t>
  </si>
  <si>
    <t>e314c4c4-9281-11ee-a8ad-00e01a6800eb#effc13c6-b695-11ee-baea-00e01a6800eb</t>
  </si>
  <si>
    <t>Китай, Сиренево-розовый</t>
  </si>
  <si>
    <t>https://www.test.lavrpack.ru/local/templates/phoenix_v1/images_cache/thumbs/830d126efa6fe483b6e576b223e5b9d7.webp?v=1789946165</t>
  </si>
  <si>
    <t>e314c4c4-9281-11ee-a8ad-00e01a6800eb#31d19f16-2d4e-11ef-a848-00e01a6800eb</t>
  </si>
  <si>
    <t>Китай, Мятный</t>
  </si>
  <si>
    <t>https://www.test.lavrpack.ru/local/templates/phoenix_v1/images_cache/thumbs/503c31d493c28b4de7ceb8d526d17d01.webp?v=1789946162</t>
  </si>
  <si>
    <t>e314c4c4-9281-11ee-a8ad-00e01a6800eb#fa11adaf-edc2-11ee-9f05-00e01a6800eb</t>
  </si>
  <si>
    <t>Китай, Кремовый</t>
  </si>
  <si>
    <t>https://www.test.lavrpack.ru/local/templates/phoenix_v1/images_cache/thumbs/8899589d8c8740498915ab62a8614bd5.webp?v=1789946165</t>
  </si>
  <si>
    <t>e314c4c4-9281-11ee-a8ad-00e01a6800eb#2eed7d72-9282-11ee-a8ad-00e01a6800eb</t>
  </si>
  <si>
    <t>Китай, Нежно-розовый</t>
  </si>
  <si>
    <t>https://www.test.lavrpack.ru/local/templates/phoenix_v1/images_cache/thumbs/c994371c2eedc3fc0edeb98b4a89d45a.webp?v=1789946162</t>
  </si>
  <si>
    <t>9969c38b-6b04-11ed-bb4b-00e01a6800eb#5c1e9467-9045-11ee-a8ad-00e01a6800eb</t>
  </si>
  <si>
    <t>77323</t>
  </si>
  <si>
    <t>Вишневый (ВК01)</t>
  </si>
  <si>
    <t>2,5см×50ярд,</t>
  </si>
  <si>
    <t>https://www.test.lavrpack.ru/local/templates/phoenix_v1/images_cache/thumbs/6a490ed77e92b9e996d42d81508e2584.webp?v=1789911453</t>
  </si>
  <si>
    <t>9969c38b-6b04-11ed-bb4b-00e01a6800eb#68a290a8-9045-11ee-a8ad-00e01a6800eb</t>
  </si>
  <si>
    <t>Сиреневый (ВК26)</t>
  </si>
  <si>
    <t>https://www.test.lavrpack.ru/local/templates/phoenix_v1/images_cache/thumbs/c85f0c4947a0188698fd9019bce7fbb9.webp?v=1789963886</t>
  </si>
  <si>
    <t>9969c38b-6b04-11ed-bb4b-00e01a6800eb#b476088b-9044-11ee-a8ad-00e01a6800eb</t>
  </si>
  <si>
    <t>Розовый (1004)</t>
  </si>
  <si>
    <t>https://www.test.lavrpack.ru/local/templates/phoenix_v1/images_cache/thumbs/13ecff0ab8b5bec34f288eb301128251.webp?v=1789911453</t>
  </si>
  <si>
    <t>9969c38b-6b04-11ed-bb4b-00e01a6800eb#26189992-9045-11ee-a8ad-00e01a6800eb</t>
  </si>
  <si>
    <t>Барби (1027)</t>
  </si>
  <si>
    <t>https://www.test.lavrpack.ru/local/templates/phoenix_v1/images_cache/thumbs/21d7020efbadbe8c7c8dee3c1042e88e.webp?v=1789963886</t>
  </si>
  <si>
    <t>9969c38b-6b04-11ed-bb4b-00e01a6800eb#f2361b06-9044-11ee-a8ad-00e01a6800eb</t>
  </si>
  <si>
    <t>Красный (1026)</t>
  </si>
  <si>
    <t>https://www.test.lavrpack.ru/local/templates/phoenix_v1/images_cache/thumbs/da56830b65bf2bfea9f7876f58624520.webp?v=1789963886</t>
  </si>
  <si>
    <t>9969c38b-6b04-11ed-bb4b-00e01a6800eb#834a9bd2-9044-11ee-a8ad-00e01a6800eb</t>
  </si>
  <si>
    <t>Лаванда (1170)</t>
  </si>
  <si>
    <t>https://www.test.lavrpack.ru/local/templates/phoenix_v1/images_cache/thumbs/c30f73d4f4252f0b4d77bcc9d641e73c.webp?v=1789911453</t>
  </si>
  <si>
    <t>9969c38b-6b04-11ed-bb4b-00e01a6800eb#404ee0b6-9045-11ee-a8ad-00e01a6800eb</t>
  </si>
  <si>
    <t>Клубничный (BK41)</t>
  </si>
  <si>
    <t>https://www.test.lavrpack.ru/local/templates/phoenix_v1/images_cache/thumbs/960a66d15cfeed26fc8378153f4a23ba.webp?v=1789963886</t>
  </si>
  <si>
    <t>9969c38b-6b04-11ed-bb4b-00e01a6800eb#a559ec5d-9044-11ee-a8ad-00e01a6800eb</t>
  </si>
  <si>
    <t>Слоновая кость (1002)</t>
  </si>
  <si>
    <t>https://www.test.lavrpack.ru/local/templates/phoenix_v1/images_cache/thumbs/81641ea71ef894fb1688be3be4768934.webp?v=1789963886</t>
  </si>
  <si>
    <t>9969c38b-6b04-11ed-bb4b-00e01a6800eb#12ff4f0c-9045-11ee-a8ad-00e01a6800eb</t>
  </si>
  <si>
    <t>Малиновый (1028)</t>
  </si>
  <si>
    <t>https://www.test.lavrpack.ru/local/templates/phoenix_v1/images_cache/thumbs/9c06d0acbe6d0561d20c81ee195b15a4.webp?v=1789963885</t>
  </si>
  <si>
    <t>7db0443d-a211-11ed-ba70-00e01a6800eb#c1ff9ca0-0538-11ee-90e0-00e01a6800eb</t>
  </si>
  <si>
    <t>78425</t>
  </si>
  <si>
    <t>Красный с золотой каймой (1)</t>
  </si>
  <si>
    <t>4см×10ярд.,</t>
  </si>
  <si>
    <t>https://www.test.lavrpack.ru/local/templates/phoenix_v1/images_cache/thumbs/571a5988e823c130dc65b43903c74a76.webp?v=1789963885</t>
  </si>
  <si>
    <t>7db0443d-a211-11ed-ba70-00e01a6800eb#e5c9ad1f-0538-11ee-90e0-00e01a6800eb</t>
  </si>
  <si>
    <t>Тиффани с золотой каймой (18)</t>
  </si>
  <si>
    <t>https://www.test.lavrpack.ru/local/templates/phoenix_v1/images_cache/thumbs/f05e6b4a6eab833bb1d85a95159e74f5.webp?v=1789963885</t>
  </si>
  <si>
    <t>7db0443d-a211-11ed-ba70-00e01a6800eb#dd44204a-4d21-11f1-ab50-22344d083d2c</t>
  </si>
  <si>
    <t>https://www.test.lavrpack.ru/local/templates/phoenix_v1/images_cache/thumbs/7e605abd8ccec435341295ebe536a6c2.webp?v=1789963885</t>
  </si>
  <si>
    <t>7db0443d-a211-11ed-ba70-00e01a6800eb#a66a4f5b-a211-11ed-ba70-00e01a6800eb</t>
  </si>
  <si>
    <t>https://www.test.lavrpack.ru/local/templates/phoenix_v1/images_cache/thumbs/d98d91746012284f5220ebfddd68cb15.webp?v=1789963884</t>
  </si>
  <si>
    <t>7db0443d-a211-11ed-ba70-00e01a6800eb#af551702-a211-11ed-ba70-00e01a6800eb</t>
  </si>
  <si>
    <t>Сиреневый</t>
  </si>
  <si>
    <t>https://www.test.lavrpack.ru/local/templates/phoenix_v1/images_cache/thumbs/f38f87725920ce8b272230b290c7c0cf.webp?v=1789963884</t>
  </si>
  <si>
    <t>7db0443d-a211-11ed-ba70-00e01a6800eb#8a2859b1-a211-11ed-ba70-00e01a6800eb</t>
  </si>
  <si>
    <t>https://www.test.lavrpack.ru/local/templates/phoenix_v1/images_cache/thumbs/fca0a9f0a5fdfe6ab0b81b41f029d868.webp?v=1789963883</t>
  </si>
  <si>
    <t>7db0443d-a211-11ed-ba70-00e01a6800eb#b13c31d8-967f-11ef-ab37-22344d083d2c</t>
  </si>
  <si>
    <t>https://www.test.lavrpack.ru/local/templates/phoenix_v1/images_cache/thumbs/b7947ba5ff5497b08fb498443e97350a.webp?v=1789963884</t>
  </si>
  <si>
    <t>e7c58407-bb7f-11ef-ab3b-22344d083d2c#21132f3c-bb80-11ef-ab3b-22344d083d2c</t>
  </si>
  <si>
    <t>110784</t>
  </si>
  <si>
    <t>Лента органза с атласными вставками</t>
  </si>
  <si>
    <t>2,5смx18ярд,</t>
  </si>
  <si>
    <t>https://www.test.lavrpack.ru/local/templates/phoenix_v1/images_cache/thumbs/acced42cfd7ceabc46f82d69632e1ec1.webp?v=1789946165</t>
  </si>
  <si>
    <t>e7c58407-bb7f-11ef-ab3b-22344d083d2c#271a7291-bb80-11ef-ab3b-22344d083d2c</t>
  </si>
  <si>
    <t>Кремовый</t>
  </si>
  <si>
    <t>https://www.test.lavrpack.ru/local/templates/phoenix_v1/images_cache/thumbs/1d9ab66785675b293fc48a14a536c9b5.webp?v=1789946166</t>
  </si>
  <si>
    <t>e7c58407-bb7f-11ef-ab3b-22344d083d2c#5f786778-a8cc-11f0-ab48-22344d083d2c</t>
  </si>
  <si>
    <t>https://www.test.lavrpack.ru/local/templates/phoenix_v1/images_cache/thumbs/f5a87053350c2108e498b4afdaaba039.webp?v=1789946166</t>
  </si>
  <si>
    <t>e7c58407-bb7f-11ef-ab3b-22344d083d2c#f46bcfc8-bb7f-11ef-ab3b-22344d083d2c</t>
  </si>
  <si>
    <t>https://www.test.lavrpack.ru/local/templates/phoenix_v1/images_cache/thumbs/b8ab769fc11047ec1e7e50eddf4a6ff0.webp?v=1789946166</t>
  </si>
  <si>
    <t>61ebc4f8-7f2a-11ec-b73f-0018e40a3af2</t>
  </si>
  <si>
    <t>9380</t>
  </si>
  <si>
    <t>Органза</t>
  </si>
  <si>
    <t>Снег, в ассортименте, 70см*9м, Китай</t>
  </si>
  <si>
    <t>https://www.test.lavrpack.ru/local/templates/phoenix_v1/images_cache/thumbs/315073835c8b2e6b4759af01ebb204c9.webp?v=1789946143</t>
  </si>
  <si>
    <t>Декоративные — 25 поз.</t>
  </si>
  <si>
    <t>f33bee21-160f-11f0-ab40-22344d083d2c</t>
  </si>
  <si>
    <t>112311</t>
  </si>
  <si>
    <t>Георгиевская (джут) 2,4см×50м</t>
  </si>
  <si>
    <t>https://www.test.lavrpack.ru/local/templates/phoenix_v1/images_cache/thumbs/54628e426ec501c054c40af479c39eea.webp?v=1789946144</t>
  </si>
  <si>
    <t>6e2151c2-7f2a-11ec-b73f-0018e40a3af2</t>
  </si>
  <si>
    <t>11335</t>
  </si>
  <si>
    <t>Декор. Аспидистра 3см×10ярд</t>
  </si>
  <si>
    <t>https://www.test.lavrpack.ru/local/templates/phoenix_v1/images_cache/thumbs/4180cb0b29a4b8f9903428bfe89b52a5.webp?v=1789963866</t>
  </si>
  <si>
    <t>55d9636c-7f2a-11ec-b73f-0018e40a3af2</t>
  </si>
  <si>
    <t>10639</t>
  </si>
  <si>
    <t>Декор. Аспидистра 10×10м</t>
  </si>
  <si>
    <t>https://www.test.lavrpack.ru/local/templates/phoenix_v1/images_cache/thumbs/408492d3d8e4fa6128bd0d796d95d801.webp?v=1789946143</t>
  </si>
  <si>
    <t>9d31b2b6-cd2e-11ec-bc66-00e01a6800eb</t>
  </si>
  <si>
    <t>70837</t>
  </si>
  <si>
    <t>декоративная "Вечная любовь" 25мм.×25ярд. фиолетовый</t>
  </si>
  <si>
    <t>https://www.test.lavrpack.ru/local/templates/phoenix_v1/images_cache/thumbs/ec7c81e455c702ed28b11138b07e86bd.webp?v=1789963869</t>
  </si>
  <si>
    <t>88f1321f-cd2e-11ec-bc66-00e01a6800eb</t>
  </si>
  <si>
    <t>70836</t>
  </si>
  <si>
    <t>декоративная "Клетка" 25мм×25ярд. винный</t>
  </si>
  <si>
    <t>https://www.test.lavrpack.ru/local/templates/phoenix_v1/images_cache/thumbs/74048da0837de00fedc99f7033542296.webp?v=1789963868</t>
  </si>
  <si>
    <t>7c0483f1-cd2e-11ec-bc66-00e01a6800eb</t>
  </si>
  <si>
    <t>70835</t>
  </si>
  <si>
    <t>декоративная "Клетка" 25мм×25ярд. красный</t>
  </si>
  <si>
    <t>https://www.test.lavrpack.ru/local/templates/phoenix_v1/images_cache/thumbs/c84c21deaefe7b46c6f3255799d53305.webp?v=1789963867</t>
  </si>
  <si>
    <t>267442c8-cd2e-11ec-bc66-00e01a6800eb</t>
  </si>
  <si>
    <t>70832</t>
  </si>
  <si>
    <t>декоративная "Клетка" 25мм×25ярд. кремовый</t>
  </si>
  <si>
    <t>https://www.test.lavrpack.ru/local/templates/phoenix_v1/images_cache/thumbs/9afb20cc1a9ec7d1c5b14eb9200d9998.webp?v=1789963859</t>
  </si>
  <si>
    <t>34457fa0-cd2e-11ec-bc66-00e01a6800eb</t>
  </si>
  <si>
    <t>70833</t>
  </si>
  <si>
    <t>декоративная "Клетка" 25мм×25ярд. светло-розовый</t>
  </si>
  <si>
    <t>https://www.test.lavrpack.ru/local/templates/phoenix_v1/images_cache/thumbs/23275145598419e36ae2524918e692ae.webp?v=1789963860</t>
  </si>
  <si>
    <t>5be00fa9-7f2c-11ec-b73f-0018e40a3af2</t>
  </si>
  <si>
    <t>67911</t>
  </si>
  <si>
    <t>декоративная "Клетка" 25мм×25ярд. чайная роза</t>
  </si>
  <si>
    <t>https://www.test.lavrpack.ru/local/templates/phoenix_v1/images_cache/thumbs/a94e67284ef49cb321f131d36a6e6e01.webp?v=1789963864</t>
  </si>
  <si>
    <t>6e2151d2-7f2a-11ec-b73f-0018e40a3af2</t>
  </si>
  <si>
    <t>11168</t>
  </si>
  <si>
    <t>Золотая полоса 2/50 (МСК)</t>
  </si>
  <si>
    <t>https://www.test.lavrpack.ru/local/templates/phoenix_v1/images_cache/thumbs/b710a75175a458b83b436fb331762f65.webp?v=1789963866</t>
  </si>
  <si>
    <t>6813234f-7f2a-11ec-b73f-0018e40a3af2</t>
  </si>
  <si>
    <t>11435</t>
  </si>
  <si>
    <t>Золотая полоса 3/50 (МСК)</t>
  </si>
  <si>
    <t>https://www.test.lavrpack.ru/local/templates/phoenix_v1/images_cache/thumbs/b3040ce914b1bcd70aab901d766b8ac5.webp?v=1789946143</t>
  </si>
  <si>
    <t>323a430a-bb0f-11ec-bc66-00e01a6800eb</t>
  </si>
  <si>
    <t>70309</t>
  </si>
  <si>
    <t>металл 0,5см×250ярд</t>
  </si>
  <si>
    <t>https://www.test.lavrpack.ru/local/templates/phoenix_v1/images_cache/thumbs/6ad54004c2c7ee58bff542149d104013.webp?v=1789963860</t>
  </si>
  <si>
    <t>5074dca4-bb0f-11ec-bc66-00e01a6800eb</t>
  </si>
  <si>
    <t>70312</t>
  </si>
  <si>
    <t>https://www.test.lavrpack.ru/local/templates/phoenix_v1/images_cache/thumbs/82c341b4d176364b28f5a5b82733b57a.webp?v=1789963863</t>
  </si>
  <si>
    <t>01783e81-bb0f-11ec-bc66-00e01a6800eb</t>
  </si>
  <si>
    <t>70306</t>
  </si>
  <si>
    <t>золото</t>
  </si>
  <si>
    <t>https://www.test.lavrpack.ru/local/templates/phoenix_v1/images_cache/thumbs/9d96cbce2d6bec66cdd72761a6626a30.webp?v=1789963856</t>
  </si>
  <si>
    <t>3b785ada-bb0f-11ec-bc66-00e01a6800eb</t>
  </si>
  <si>
    <t>70310</t>
  </si>
  <si>
    <t>https://www.test.lavrpack.ru/local/templates/phoenix_v1/images_cache/thumbs/34681a06d3eb9f4d8ac85a33db054183.webp?v=1789963861</t>
  </si>
  <si>
    <t>467f7adf-bb0f-11ec-bc66-00e01a6800eb</t>
  </si>
  <si>
    <t>70311</t>
  </si>
  <si>
    <t>https://www.test.lavrpack.ru/local/templates/phoenix_v1/images_cache/thumbs/84f15d6a99b48ba425c9391fd474956b.webp?v=1789963863</t>
  </si>
  <si>
    <t>286d58a9-bb0f-11ec-bc66-00e01a6800eb</t>
  </si>
  <si>
    <t>70307</t>
  </si>
  <si>
    <t>серебро</t>
  </si>
  <si>
    <t>https://www.test.lavrpack.ru/local/templates/phoenix_v1/images_cache/thumbs/c229638607db0e5636de5e201b8e6869.webp?v=1789963859</t>
  </si>
  <si>
    <t>e1412fc8-a8f6-11f0-ab48-22344d083d2c#fbd2bbd6-a8f6-11f0-ab48-22344d083d2c</t>
  </si>
  <si>
    <t>115391</t>
  </si>
  <si>
    <t>Лента силиконовая "Just for you"</t>
  </si>
  <si>
    <t>25ммx25м,</t>
  </si>
  <si>
    <t>https://www.test.lavrpack.ru/local/templates/phoenix_v1/images_cache/thumbs/e25bab104e0b197ea759fbd148c6b3a7.webp?v=1789946161</t>
  </si>
  <si>
    <t>e1412fc8-a8f6-11f0-ab48-22344d083d2c#d1367244-b4a2-11f0-ab48-22344d083d2c</t>
  </si>
  <si>
    <t>https://www.test.lavrpack.ru/local/templates/phoenix_v1/images_cache/thumbs/d6345513e507f4c47b9cd5bb3d6b8e7b.webp?v=1789946160</t>
  </si>
  <si>
    <t>e1412fc8-a8f6-11f0-ab48-22344d083d2c#dc2dbf9c-a9ca-11f0-ab48-22344d083d2c</t>
  </si>
  <si>
    <t>https://www.test.lavrpack.ru/local/templates/phoenix_v1/images_cache/thumbs/6e83d5876c30cdfd5a691f1a5d9bc85a.webp?v=1789946160</t>
  </si>
  <si>
    <t>e1412fc8-a8f6-11f0-ab48-22344d083d2c#17469c97-a8f7-11f0-ab48-22344d083d2c</t>
  </si>
  <si>
    <t>Серебристый</t>
  </si>
  <si>
    <t>https://www.test.lavrpack.ru/local/templates/phoenix_v1/images_cache/thumbs/10490170a2fa2f8f76d6300d17410494.webp?v=1789946160</t>
  </si>
  <si>
    <t>e1412fc8-a8f6-11f0-ab48-22344d083d2c#e46fa214-b4a2-11f0-ab48-22344d083d2c</t>
  </si>
  <si>
    <t>Золотой</t>
  </si>
  <si>
    <t>https://www.test.lavrpack.ru/local/templates/phoenix_v1/images_cache/thumbs/498dd5753a585653dfec63d2ef0210fb.webp?v=1789946160</t>
  </si>
  <si>
    <t>22df6031-0940-11ef-9f05-00e01a6800eb#28d79378-0940-11ef-9f05-00e01a6800eb</t>
  </si>
  <si>
    <t>107497</t>
  </si>
  <si>
    <t>Флористическая кайма Жемчужная</t>
  </si>
  <si>
    <t>11см×2м,</t>
  </si>
  <si>
    <t>https://www.test.lavrpack.ru/local/templates/phoenix_v1/images_cache/thumbs/a82a3c9bf76e6366fe3a1a499d776eb6.webp?v=1789946151</t>
  </si>
  <si>
    <t>22df6031-0940-11ef-9f05-00e01a6800eb#34c7fa49-0940-11ef-9f05-00e01a6800eb</t>
  </si>
  <si>
    <t>https://www.test.lavrpack.ru/local/templates/phoenix_v1/images_cache/thumbs/dd86044e8b8ab62f5fcb8852193e2035.webp?v=1789946151</t>
  </si>
  <si>
    <t>22df6031-0940-11ef-9f05-00e01a6800eb#3ba97494-0940-11ef-9f05-00e01a6800eb</t>
  </si>
  <si>
    <t>Крем</t>
  </si>
  <si>
    <t>https://www.test.lavrpack.ru/local/templates/phoenix_v1/images_cache/thumbs/cf7d09a2db4ffaac82594f6cd56f3f3a.webp?v=1789946152</t>
  </si>
  <si>
    <t>Кружево, вельвет — 12 поз.</t>
  </si>
  <si>
    <t>fb5ff114-1723-11ee-8f7e-00e01a6800eb#31047793-34f6-11ee-a5bc-00e01a6800eb</t>
  </si>
  <si>
    <t>103212</t>
  </si>
  <si>
    <t>Лента вельвет</t>
  </si>
  <si>
    <t>10мм×5ярд,</t>
  </si>
  <si>
    <t>https://www.test.lavrpack.ru/local/templates/phoenix_v1/images_cache/thumbs/137192a0de35330a44c52f2e98325ab8.webp?v=1789911453</t>
  </si>
  <si>
    <t>fb5ff114-1723-11ee-8f7e-00e01a6800eb#371478c5-34f6-11ee-a5bc-00e01a6800eb</t>
  </si>
  <si>
    <t>https://www.test.lavrpack.ru/local/templates/phoenix_v1/images_cache/thumbs/ce72d5c58c621bd765a56f430db450ca.webp?v=1789946167</t>
  </si>
  <si>
    <t>122319b3-1724-11ee-8f7e-00e01a6800eb#2df25c31-84c5-11f0-ab48-22344d083d2c</t>
  </si>
  <si>
    <t>103213</t>
  </si>
  <si>
    <t>(RB222041030), Красный</t>
  </si>
  <si>
    <t>25мм×5ярд</t>
  </si>
  <si>
    <t>https://www.test.lavrpack.ru/local/templates/phoenix_v1/images_cache/thumbs/468bad3b3aaeb889172877e7eabf1ed1.webp?v=1789946151</t>
  </si>
  <si>
    <t>122319b3-1724-11ee-8f7e-00e01a6800eb#1228b055-34ec-11ee-a5bc-00e01a6800eb</t>
  </si>
  <si>
    <t>(RB222041030), Белый</t>
  </si>
  <si>
    <t>https://www.test.lavrpack.ru/local/templates/phoenix_v1/images_cache/thumbs/ec20fc99c5c6e2677896a7edffa70621.webp?v=1789946151</t>
  </si>
  <si>
    <t>122319b3-1724-11ee-8f7e-00e01a6800eb#48e8916d-34f6-11ee-a5bc-00e01a6800eb</t>
  </si>
  <si>
    <t>(RB222041030), Тиффани</t>
  </si>
  <si>
    <t>https://www.test.lavrpack.ru/local/templates/phoenix_v1/images_cache/thumbs/7c57a00d560cd89d6850f6019993345e.webp?v=1789911444</t>
  </si>
  <si>
    <t>3ecce7e6-9cf1-11ef-ab3b-22344d083d2c#5d6c0488-9cf1-11ef-ab3b-22344d083d2c</t>
  </si>
  <si>
    <t>110390</t>
  </si>
  <si>
    <t>Лента кружевная</t>
  </si>
  <si>
    <t>2,5см×50ярд.,</t>
  </si>
  <si>
    <t>https://www.test.lavrpack.ru/local/templates/phoenix_v1/images_cache/thumbs/e022f1cca68d0df6713efe925b642a2c.webp?v=1789946152</t>
  </si>
  <si>
    <t>3ecce7e6-9cf1-11ef-ab3b-22344d083d2c#45039ebb-9cf1-11ef-ab3b-22344d083d2c</t>
  </si>
  <si>
    <t>https://www.test.lavrpack.ru/local/templates/phoenix_v1/images_cache/thumbs/ebb7cf6a9e4f55bcacca68d239f966a6.webp?v=1789946152</t>
  </si>
  <si>
    <t>ae503b94-a213-11ed-ba70-00e01a6800eb#d2ecf343-edcd-11ee-9f05-00e01a6800eb</t>
  </si>
  <si>
    <t>78426</t>
  </si>
  <si>
    <t>Лента кружевная, хлопковая</t>
  </si>
  <si>
    <t>3см×20ярд.,</t>
  </si>
  <si>
    <t>https://www.test.lavrpack.ru/local/templates/phoenix_v1/images_cache/thumbs/d930ea8d90880a845ebad86119e7a7c4.webp?v=1789963887</t>
  </si>
  <si>
    <t>ae503b94-a213-11ed-ba70-00e01a6800eb#bc87d397-a213-11ed-ba70-00e01a6800eb</t>
  </si>
  <si>
    <t>Светло-сиреневый</t>
  </si>
  <si>
    <t>https://www.test.lavrpack.ru/local/templates/phoenix_v1/images_cache/thumbs/25969a4af4956593813c80d4032a15aa.webp?v=1789963887</t>
  </si>
  <si>
    <t>ae503b94-a213-11ed-ba70-00e01a6800eb#226a4ea4-a2c2-11ed-ba70-00e01a6800eb</t>
  </si>
  <si>
    <t>https://www.test.lavrpack.ru/local/templates/phoenix_v1/images_cache/thumbs/deadcec159040e872737f6a5762b30fb.webp?v=1789963887</t>
  </si>
  <si>
    <t>ae503b94-a213-11ed-ba70-00e01a6800eb#52fb01c9-a2c2-11ed-ba70-00e01a6800eb</t>
  </si>
  <si>
    <t>https://www.test.lavrpack.ru/local/templates/phoenix_v1/images_cache/thumbs/0130c02a8f3feef9fa58c52c8b1e8705.webp?v=1789963887</t>
  </si>
  <si>
    <t>ae503b94-a213-11ed-ba70-00e01a6800eb#3caf6642-9684-11ef-ab37-22344d083d2c</t>
  </si>
  <si>
    <t>Кофейный</t>
  </si>
  <si>
    <t>https://www.test.lavrpack.ru/local/templates/phoenix_v1/images_cache/thumbs/9df9c2ff1ec0c05ef43f9fc6de9f5b09.webp?v=1789963887</t>
  </si>
  <si>
    <t>Парча, сатин, шифон — 3 поз.</t>
  </si>
  <si>
    <t>ed950f5a-644b-11ee-bc2f-00e01a6800eb#1a585550-666a-11ee-bc2f-00e01a6800eb</t>
  </si>
  <si>
    <t>104358</t>
  </si>
  <si>
    <t>Лента парча</t>
  </si>
  <si>
    <t>Зеленый (087)</t>
  </si>
  <si>
    <t>https://www.test.lavrpack.ru/local/templates/phoenix_v1/images_cache/thumbs/ec63632ed3eea6ea43161fc8de011827.webp?v=1789963897</t>
  </si>
  <si>
    <t>ed950f5a-644b-11ee-bc2f-00e01a6800eb#f886e88b-6669-11ee-bc2f-00e01a6800eb</t>
  </si>
  <si>
    <t>Тиффани (061)</t>
  </si>
  <si>
    <t>https://www.test.lavrpack.ru/local/templates/phoenix_v1/images_cache/thumbs/a3598c3b1686e5ad9ee079b6bc90be54.webp?v=1789911453</t>
  </si>
  <si>
    <t>ed950f5a-644b-11ee-bc2f-00e01a6800eb#0bbf24e2-666a-11ee-bc2f-00e01a6800eb</t>
  </si>
  <si>
    <t>Лаванда (069)</t>
  </si>
  <si>
    <t>https://www.test.lavrpack.ru/local/templates/phoenix_v1/images_cache/thumbs/536a7ddcbcb1487a7f63ccc8f454a168.webp?v=1789963897</t>
  </si>
  <si>
    <t>Шнуры — 2 поз.</t>
  </si>
  <si>
    <t>ee5a2cbb-7f2a-11ec-b73f-0018e40a3af2</t>
  </si>
  <si>
    <t>35532</t>
  </si>
  <si>
    <t>шнурок войлок 5 мм×10м</t>
  </si>
  <si>
    <t>https://www.test.lavrpack.ru/local/templates/phoenix_v1/images_cache/thumbs/e140bd91d6c4fb01396135309f01b20c.webp?v=1789911443</t>
  </si>
  <si>
    <t>7efd5340-7f2e-11ec-b73f-0018e40a3af2</t>
  </si>
  <si>
    <t>35531</t>
  </si>
  <si>
    <t>шнурок войлок 10 мм×10м</t>
  </si>
  <si>
    <t>https://www.test.lavrpack.ru/local/templates/phoenix_v1/images_cache/thumbs/e56939ab5e9d15241eacc43ffeb9f59b.webp?v=1789963867</t>
  </si>
  <si>
    <t>Выбрано позиций</t>
  </si>
  <si>
    <t>Общее количество</t>
  </si>
  <si>
    <t>Сумма заказа</t>
  </si>
  <si>
    <t>служебная</t>
  </si>
  <si>
    <t>UUID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</si>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</sst>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2e1f33ea54bbbdd9001068c4eeaf4187.jpg"/><Relationship Id="rId3" Type="http://schemas.openxmlformats.org/officeDocument/2006/relationships/image" Target="../media/7732025b8f245bf87397131204752b1d.jpg"/><Relationship Id="rId4" Type="http://schemas.openxmlformats.org/officeDocument/2006/relationships/image" Target="../media/f2fb5a000a95865ab3407af9bdb65502.jpg"/><Relationship Id="rId5" Type="http://schemas.openxmlformats.org/officeDocument/2006/relationships/image" Target="../media/5f815cb55adf4bbe185a5bd3591d4f71.jpg"/><Relationship Id="rId6" Type="http://schemas.openxmlformats.org/officeDocument/2006/relationships/image" Target="../media/4157ed65b5a490155f054c4b72a7c846.jpg"/><Relationship Id="rId7" Type="http://schemas.openxmlformats.org/officeDocument/2006/relationships/image" Target="../media/e697420f48d999d687a2451c58038f2e.jpg"/><Relationship Id="rId8" Type="http://schemas.openxmlformats.org/officeDocument/2006/relationships/image" Target="../media/3a6b6e811e94f946aeaaf57815b3eb92.jpg"/><Relationship Id="rId9" Type="http://schemas.openxmlformats.org/officeDocument/2006/relationships/image" Target="../media/07e39803900f0da880122c4e0dba01a0.jpg"/><Relationship Id="rId10" Type="http://schemas.openxmlformats.org/officeDocument/2006/relationships/image" Target="../media/85b2fd9ed6cf38c36ede2e913b53d364.jpg"/><Relationship Id="rId11" Type="http://schemas.openxmlformats.org/officeDocument/2006/relationships/image" Target="../media/7fa9a8b28f90b207837c3e42920e2d5d.jpg"/><Relationship Id="rId12" Type="http://schemas.openxmlformats.org/officeDocument/2006/relationships/image" Target="../media/8fbd8c6220b6ac1ea2425bc0b88a6978.jpg"/><Relationship Id="rId13" Type="http://schemas.openxmlformats.org/officeDocument/2006/relationships/image" Target="../media/788fba58332a490f9c6adbf645b70c98.jpg"/><Relationship Id="rId14" Type="http://schemas.openxmlformats.org/officeDocument/2006/relationships/image" Target="../media/dfed38df959588830bd2aa97e41c28d3.jpg"/><Relationship Id="rId15" Type="http://schemas.openxmlformats.org/officeDocument/2006/relationships/image" Target="../media/26e3eadddbe0267b51c2f7ab92ca6a62.jpg"/><Relationship Id="rId16" Type="http://schemas.openxmlformats.org/officeDocument/2006/relationships/image" Target="../media/9fe05e2e4a416a45f3cd68ed26241139.jpg"/><Relationship Id="rId17" Type="http://schemas.openxmlformats.org/officeDocument/2006/relationships/image" Target="../media/9f1e7b2dbae1ea89e847376399d15624.jpg"/><Relationship Id="rId18" Type="http://schemas.openxmlformats.org/officeDocument/2006/relationships/image" Target="../media/24e75c53609f4737385e936f870202e8.jpg"/><Relationship Id="rId19" Type="http://schemas.openxmlformats.org/officeDocument/2006/relationships/image" Target="../media/2bd34b14393487e428fa38fa7fc011e1.jpg"/><Relationship Id="rId20" Type="http://schemas.openxmlformats.org/officeDocument/2006/relationships/image" Target="../media/5466a64b8d1799f24703cd1da3f2f6cc.jpg"/><Relationship Id="rId21" Type="http://schemas.openxmlformats.org/officeDocument/2006/relationships/image" Target="../media/ab9579794848867b61481270f7ab3053.jpg"/><Relationship Id="rId22" Type="http://schemas.openxmlformats.org/officeDocument/2006/relationships/image" Target="../media/5b1568554248d311e449e2e6ee4b312a.jpg"/><Relationship Id="rId23" Type="http://schemas.openxmlformats.org/officeDocument/2006/relationships/image" Target="../media/705f408b2d70cb515183f435f1e47316.jpg"/><Relationship Id="rId24" Type="http://schemas.openxmlformats.org/officeDocument/2006/relationships/image" Target="../media/7e32a14e88c2df4b6b1f59284b520cfe.jpg"/><Relationship Id="rId25" Type="http://schemas.openxmlformats.org/officeDocument/2006/relationships/image" Target="../media/fdda7fbb211d864a678587fba9ebab4d.jpg"/><Relationship Id="rId26" Type="http://schemas.openxmlformats.org/officeDocument/2006/relationships/image" Target="../media/713a3b98fb9b9f6a2c60cab6abef5cf7.jpg"/><Relationship Id="rId27" Type="http://schemas.openxmlformats.org/officeDocument/2006/relationships/image" Target="../media/7b10d6ac44f14c94bea32aab043b5d26.jpg"/><Relationship Id="rId28" Type="http://schemas.openxmlformats.org/officeDocument/2006/relationships/image" Target="../media/f8de2952e9884486e3ea4d5aa6f48086.jpg"/><Relationship Id="rId29" Type="http://schemas.openxmlformats.org/officeDocument/2006/relationships/image" Target="../media/357556c879663b256fdadaa9f7f66ce5.jpg"/><Relationship Id="rId30" Type="http://schemas.openxmlformats.org/officeDocument/2006/relationships/image" Target="../media/fffdac432dc8f5652767c62a7d23d4cc.jpg"/><Relationship Id="rId31" Type="http://schemas.openxmlformats.org/officeDocument/2006/relationships/image" Target="../media/d5f20a4e1d7a42e38392be141996ccb2.jpg"/><Relationship Id="rId32" Type="http://schemas.openxmlformats.org/officeDocument/2006/relationships/image" Target="../media/df5d1c3aea2168b0202d15eea37fa6d2.jpg"/><Relationship Id="rId33" Type="http://schemas.openxmlformats.org/officeDocument/2006/relationships/image" Target="../media/ac8f041252de5b1f78331cb4235f0f55.jpg"/><Relationship Id="rId34" Type="http://schemas.openxmlformats.org/officeDocument/2006/relationships/image" Target="../media/d863f8f41ab476053e7cb87f4abb94fc.jpg"/><Relationship Id="rId35" Type="http://schemas.openxmlformats.org/officeDocument/2006/relationships/image" Target="../media/2e56936c26761c9ceaeeaf8fe0d29e77.jpg"/><Relationship Id="rId36" Type="http://schemas.openxmlformats.org/officeDocument/2006/relationships/image" Target="../media/84ae1089df3111b0d90f78ec3a479836.jpg"/><Relationship Id="rId37" Type="http://schemas.openxmlformats.org/officeDocument/2006/relationships/image" Target="../media/c775b806eb74671e49d34a915e0d3805.jpg"/><Relationship Id="rId38" Type="http://schemas.openxmlformats.org/officeDocument/2006/relationships/image" Target="../media/b700078579b6c482d1f7fbf3ea9a876f.jpg"/><Relationship Id="rId39" Type="http://schemas.openxmlformats.org/officeDocument/2006/relationships/image" Target="../media/2d0e1ca9600c80de770b0ff5f5483f72.jpg"/><Relationship Id="rId40" Type="http://schemas.openxmlformats.org/officeDocument/2006/relationships/image" Target="../media/694e5ad3cbc414c5513fbd5190e73687.jpg"/><Relationship Id="rId41" Type="http://schemas.openxmlformats.org/officeDocument/2006/relationships/image" Target="../media/237efb170afe9db45028cd68f3e7fb87.jpg"/><Relationship Id="rId42" Type="http://schemas.openxmlformats.org/officeDocument/2006/relationships/image" Target="../media/3008200d24429d83f87501a8eabff0a8.jpg"/><Relationship Id="rId43" Type="http://schemas.openxmlformats.org/officeDocument/2006/relationships/image" Target="../media/d134ef047b4d826856252b0ffb262777.jpg"/><Relationship Id="rId44" Type="http://schemas.openxmlformats.org/officeDocument/2006/relationships/image" Target="../media/e752d222a55e727dad3759853ab866c1.jpg"/><Relationship Id="rId45" Type="http://schemas.openxmlformats.org/officeDocument/2006/relationships/image" Target="../media/f78d2d0d5ba844fb831fd5fb2dadaa04.jpg"/><Relationship Id="rId46" Type="http://schemas.openxmlformats.org/officeDocument/2006/relationships/image" Target="../media/88b1070f176e1eca1e5e550df1770acb.jpg"/><Relationship Id="rId47" Type="http://schemas.openxmlformats.org/officeDocument/2006/relationships/image" Target="../media/419b2a2be724a0d80f87d33c167ad763.jpg"/><Relationship Id="rId48" Type="http://schemas.openxmlformats.org/officeDocument/2006/relationships/image" Target="../media/11e43f2528d803cd8f2c00cf49ce4e8b.jpg"/><Relationship Id="rId49" Type="http://schemas.openxmlformats.org/officeDocument/2006/relationships/image" Target="../media/ac6a493b66690df3354e4f10799ca36a.jpg"/><Relationship Id="rId50" Type="http://schemas.openxmlformats.org/officeDocument/2006/relationships/image" Target="../media/1b4b567e86a85fead3b853896156d949.jpg"/><Relationship Id="rId51" Type="http://schemas.openxmlformats.org/officeDocument/2006/relationships/image" Target="../media/131434536694efaedf794d52a6f664ce.jpg"/><Relationship Id="rId52" Type="http://schemas.openxmlformats.org/officeDocument/2006/relationships/image" Target="../media/7282c81f27e4f6c80c1d827c534e2afc.jpg"/><Relationship Id="rId53" Type="http://schemas.openxmlformats.org/officeDocument/2006/relationships/image" Target="../media/9ff7a1ffd5235366c928fd4479e9d63d.jpg"/><Relationship Id="rId54" Type="http://schemas.openxmlformats.org/officeDocument/2006/relationships/image" Target="../media/8949694b52b246a09d1b249557726a28.jpg"/><Relationship Id="rId55" Type="http://schemas.openxmlformats.org/officeDocument/2006/relationships/image" Target="../media/703dfe8b8fda1f3845a484c876843a8c.jpg"/><Relationship Id="rId56" Type="http://schemas.openxmlformats.org/officeDocument/2006/relationships/image" Target="../media/1977b3f5d36a7488c89652950dbf78cd.jpg"/><Relationship Id="rId57" Type="http://schemas.openxmlformats.org/officeDocument/2006/relationships/image" Target="../media/e75a46fd052ca781c76a87dded519c65.jpg"/><Relationship Id="rId58" Type="http://schemas.openxmlformats.org/officeDocument/2006/relationships/image" Target="../media/323b0470b40d8ca499aec96c21edde87.jpg"/><Relationship Id="rId59" Type="http://schemas.openxmlformats.org/officeDocument/2006/relationships/image" Target="../media/c0b1f6a4dfc030c58ff0e505f5d498ee.jpg"/><Relationship Id="rId60" Type="http://schemas.openxmlformats.org/officeDocument/2006/relationships/image" Target="../media/4076cf73c609a6d97736a94a23200704.jpg"/><Relationship Id="rId61" Type="http://schemas.openxmlformats.org/officeDocument/2006/relationships/image" Target="../media/081fde7401791407575e4386887ea16e.jpg"/><Relationship Id="rId62" Type="http://schemas.openxmlformats.org/officeDocument/2006/relationships/image" Target="../media/49fe1a89a709909d5025de4627014370.jpg"/><Relationship Id="rId63" Type="http://schemas.openxmlformats.org/officeDocument/2006/relationships/image" Target="../media/9221d62a3ab54f8141214b164d1e286c.jpg"/><Relationship Id="rId64" Type="http://schemas.openxmlformats.org/officeDocument/2006/relationships/image" Target="../media/9ead7fae01f046e6acc8e998c3111c55.jpg"/><Relationship Id="rId65" Type="http://schemas.openxmlformats.org/officeDocument/2006/relationships/image" Target="../media/35729faa9ffc7ee5aaf195554cc66998.jpg"/><Relationship Id="rId66" Type="http://schemas.openxmlformats.org/officeDocument/2006/relationships/image" Target="../media/8818e08674166aae02b17010462c0333.jpg"/><Relationship Id="rId67" Type="http://schemas.openxmlformats.org/officeDocument/2006/relationships/image" Target="../media/6d5ce3741f087877c8b69ae735716fc9.jpg"/><Relationship Id="rId68" Type="http://schemas.openxmlformats.org/officeDocument/2006/relationships/image" Target="../media/5c5401fd28e5aced81a23fcddb1c9ffd.jpg"/><Relationship Id="rId69" Type="http://schemas.openxmlformats.org/officeDocument/2006/relationships/image" Target="../media/a71282d2d9048823881a079f63e019b5.jpg"/><Relationship Id="rId70" Type="http://schemas.openxmlformats.org/officeDocument/2006/relationships/image" Target="../media/41737dc9f5a65f583b185f7b6c2a296f.jpg"/><Relationship Id="rId71" Type="http://schemas.openxmlformats.org/officeDocument/2006/relationships/image" Target="../media/af7ba6bae572619789d3856019b5bd5c.jpg"/><Relationship Id="rId72" Type="http://schemas.openxmlformats.org/officeDocument/2006/relationships/image" Target="../media/c0b78562b7445921d3806c6ad8712204.jpg"/><Relationship Id="rId73" Type="http://schemas.openxmlformats.org/officeDocument/2006/relationships/image" Target="../media/855aeeb56fc0c629fc7c0a9c955f5bac.jpg"/><Relationship Id="rId74" Type="http://schemas.openxmlformats.org/officeDocument/2006/relationships/image" Target="../media/1498b2a3aa99a79a7c1314e9e49b6d2e.jpg"/><Relationship Id="rId75" Type="http://schemas.openxmlformats.org/officeDocument/2006/relationships/image" Target="../media/99f926651f8aa40d3964793b24ed918e.jpg"/><Relationship Id="rId76" Type="http://schemas.openxmlformats.org/officeDocument/2006/relationships/image" Target="../media/332d54dd966772ef531e22ccead05681.jpg"/><Relationship Id="rId77" Type="http://schemas.openxmlformats.org/officeDocument/2006/relationships/image" Target="../media/07250b6ca0f260dde988d4f33d598568.jpg"/><Relationship Id="rId78" Type="http://schemas.openxmlformats.org/officeDocument/2006/relationships/image" Target="../media/a327851bfd1f0aa71b2b969c72389df3.jpg"/><Relationship Id="rId79" Type="http://schemas.openxmlformats.org/officeDocument/2006/relationships/image" Target="../media/a59f3e847f1da277f5e392c46e5d877e.jpg"/><Relationship Id="rId80" Type="http://schemas.openxmlformats.org/officeDocument/2006/relationships/image" Target="../media/eede5d4dc3b3f753c37198e759f0977d.jpg"/><Relationship Id="rId81" Type="http://schemas.openxmlformats.org/officeDocument/2006/relationships/image" Target="../media/f22e1f2980d67ab7ce3e2e38ff6a89e0.jpg"/><Relationship Id="rId82" Type="http://schemas.openxmlformats.org/officeDocument/2006/relationships/image" Target="../media/8f9f98a7c3ec6128bdb8427973ddecdb.jpg"/><Relationship Id="rId83" Type="http://schemas.openxmlformats.org/officeDocument/2006/relationships/image" Target="../media/0b547c65c5228759a88ed1aef970eeed.jpg"/><Relationship Id="rId84" Type="http://schemas.openxmlformats.org/officeDocument/2006/relationships/image" Target="../media/2793298a9e4318f1688f70c9df26119e.jpg"/><Relationship Id="rId85" Type="http://schemas.openxmlformats.org/officeDocument/2006/relationships/image" Target="../media/6c5d9b4a646b367791390717ee143f43.jpg"/><Relationship Id="rId86" Type="http://schemas.openxmlformats.org/officeDocument/2006/relationships/image" Target="../media/ba60b99179d6f4ca23758b98b25f8e0b.jpg"/><Relationship Id="rId87" Type="http://schemas.openxmlformats.org/officeDocument/2006/relationships/image" Target="../media/be2781421df4bba15d5f4d95cd717050.jpg"/><Relationship Id="rId88" Type="http://schemas.openxmlformats.org/officeDocument/2006/relationships/image" Target="../media/dc81dcbc65d714e71f4fa7ca718912f4.jpg"/><Relationship Id="rId89" Type="http://schemas.openxmlformats.org/officeDocument/2006/relationships/image" Target="../media/0190358837f1bda4f79c9dd194ce3b01.jpg"/><Relationship Id="rId90" Type="http://schemas.openxmlformats.org/officeDocument/2006/relationships/image" Target="../media/540872bfa1e5449da49ebf5cfe6e80a7.jpg"/><Relationship Id="rId91" Type="http://schemas.openxmlformats.org/officeDocument/2006/relationships/image" Target="../media/fc6ad8705fcf48987c00ef1964a5f5e5.jpg"/><Relationship Id="rId92" Type="http://schemas.openxmlformats.org/officeDocument/2006/relationships/image" Target="../media/c9fc45f411d963d4ef33c5aa5d4ab7d9.jpg"/><Relationship Id="rId93" Type="http://schemas.openxmlformats.org/officeDocument/2006/relationships/image" Target="../media/e7aa9bfe53df6cd2258f0aaaf09976d0.jpg"/><Relationship Id="rId94" Type="http://schemas.openxmlformats.org/officeDocument/2006/relationships/image" Target="../media/b36b09362eecfd694a2aeadd17240d6a.jpg"/><Relationship Id="rId95" Type="http://schemas.openxmlformats.org/officeDocument/2006/relationships/image" Target="../media/1e60c53b2e8a7198a89d58dc662a1692.jpg"/><Relationship Id="rId96" Type="http://schemas.openxmlformats.org/officeDocument/2006/relationships/image" Target="../media/b568fd7f358ce1ac37b5a09cfe7328f0.jpg"/><Relationship Id="rId97" Type="http://schemas.openxmlformats.org/officeDocument/2006/relationships/image" Target="../media/85d71292539bd1101c061f87d87009a0.jpg"/><Relationship Id="rId98" Type="http://schemas.openxmlformats.org/officeDocument/2006/relationships/image" Target="../media/4d47d8daf2e57d49e34cb4d91b449a5c.jpg"/><Relationship Id="rId99" Type="http://schemas.openxmlformats.org/officeDocument/2006/relationships/image" Target="../media/07688ba9b04f176bde361a2749f80323.jpg"/><Relationship Id="rId100" Type="http://schemas.openxmlformats.org/officeDocument/2006/relationships/image" Target="../media/a6d5ec431e76beec23c0fb10483e8020.jpg"/><Relationship Id="rId101" Type="http://schemas.openxmlformats.org/officeDocument/2006/relationships/image" Target="../media/29c46321b9bbc30e832332ce422ed8d5.jpg"/><Relationship Id="rId102" Type="http://schemas.openxmlformats.org/officeDocument/2006/relationships/image" Target="../media/845c0ff30d743d2a1e02d75adb01391b.jpg"/><Relationship Id="rId103" Type="http://schemas.openxmlformats.org/officeDocument/2006/relationships/image" Target="../media/68e0a74a4dd551498df84ec122049cf3.jpg"/><Relationship Id="rId104" Type="http://schemas.openxmlformats.org/officeDocument/2006/relationships/image" Target="../media/53fdd69d971dcb27b800491a2025eeae.jpg"/><Relationship Id="rId105" Type="http://schemas.openxmlformats.org/officeDocument/2006/relationships/image" Target="../media/f9a0dd70b3373b70b651ef81473dcbdc.jpg"/><Relationship Id="rId106" Type="http://schemas.openxmlformats.org/officeDocument/2006/relationships/image" Target="../media/66c373b88777653362bc1061aafab09b.jpg"/><Relationship Id="rId107" Type="http://schemas.openxmlformats.org/officeDocument/2006/relationships/image" Target="../media/9716b5eacc9ac67c33429cea92a3d6ec.jpg"/><Relationship Id="rId108" Type="http://schemas.openxmlformats.org/officeDocument/2006/relationships/image" Target="../media/6c1ea485ff799d5fd0c85c391c971407.jpg"/><Relationship Id="rId109" Type="http://schemas.openxmlformats.org/officeDocument/2006/relationships/image" Target="../media/999e403fd5837acd8ed0d08acfe7405e.jpg"/><Relationship Id="rId110" Type="http://schemas.openxmlformats.org/officeDocument/2006/relationships/image" Target="../media/0804594012cefc188ff9771dac47c1bf.jpg"/><Relationship Id="rId111" Type="http://schemas.openxmlformats.org/officeDocument/2006/relationships/image" Target="../media/8ea697a8ca7955c8f38fcbd9197d55d9.jpg"/><Relationship Id="rId112" Type="http://schemas.openxmlformats.org/officeDocument/2006/relationships/image" Target="../media/40d57908b9d9bd9b1eaa80afa4f9b5eb.jpg"/><Relationship Id="rId113" Type="http://schemas.openxmlformats.org/officeDocument/2006/relationships/image" Target="../media/f4acf58c2aa5be07ca485170228825b6.jpg"/><Relationship Id="rId114" Type="http://schemas.openxmlformats.org/officeDocument/2006/relationships/image" Target="../media/9430b73ecbdfc00198f812cc12e37188.jpg"/><Relationship Id="rId115" Type="http://schemas.openxmlformats.org/officeDocument/2006/relationships/image" Target="../media/2db62742a6fbfdc408f8533c7ba41bf8.jpg"/><Relationship Id="rId116" Type="http://schemas.openxmlformats.org/officeDocument/2006/relationships/image" Target="../media/32f1e033e4edadf0562054b5d533dbe9.jpg"/><Relationship Id="rId117" Type="http://schemas.openxmlformats.org/officeDocument/2006/relationships/image" Target="../media/443f5d26851c58508f7f5e5df4896076.jpg"/><Relationship Id="rId118" Type="http://schemas.openxmlformats.org/officeDocument/2006/relationships/image" Target="../media/766c1faf55675b85fae540c53e691d04.jpg"/><Relationship Id="rId119" Type="http://schemas.openxmlformats.org/officeDocument/2006/relationships/image" Target="../media/453855409d55615a2308eb1e56246f7b.jpg"/><Relationship Id="rId120" Type="http://schemas.openxmlformats.org/officeDocument/2006/relationships/image" Target="../media/94bc3c8ad1f45a87250ed1759df18b56.jpg"/><Relationship Id="rId121" Type="http://schemas.openxmlformats.org/officeDocument/2006/relationships/image" Target="../media/4064dd7a2e674739e913ae455f089a17.jpg"/><Relationship Id="rId122" Type="http://schemas.openxmlformats.org/officeDocument/2006/relationships/image" Target="../media/04408e044441ab8aeb5e7667674e1465.jpg"/><Relationship Id="rId123" Type="http://schemas.openxmlformats.org/officeDocument/2006/relationships/image" Target="../media/6d5ce3741f087877c8b69ae735716fc9.jpg"/><Relationship Id="rId124" Type="http://schemas.openxmlformats.org/officeDocument/2006/relationships/image" Target="../media/d8b788bb33118d4a76b3e46a0ac83c0f.jpg"/><Relationship Id="rId125" Type="http://schemas.openxmlformats.org/officeDocument/2006/relationships/image" Target="../media/53f07dc4e155da378052d0158645ec4f.jpg"/><Relationship Id="rId126" Type="http://schemas.openxmlformats.org/officeDocument/2006/relationships/image" Target="../media/cc50e981f5036e455b2347e318d10ff2.jpg"/><Relationship Id="rId127" Type="http://schemas.openxmlformats.org/officeDocument/2006/relationships/image" Target="../media/4ff1a37e0ef1232b322d9a22e36fbb7f.jpg"/><Relationship Id="rId128" Type="http://schemas.openxmlformats.org/officeDocument/2006/relationships/image" Target="../media/58c59cdbcc441c11c935fee48f189bab.jpg"/><Relationship Id="rId129" Type="http://schemas.openxmlformats.org/officeDocument/2006/relationships/image" Target="../media/6d5ce3741f087877c8b69ae735716fc9.jpg"/><Relationship Id="rId130" Type="http://schemas.openxmlformats.org/officeDocument/2006/relationships/image" Target="../media/6d5ce3741f087877c8b69ae735716fc9.jpg"/><Relationship Id="rId131" Type="http://schemas.openxmlformats.org/officeDocument/2006/relationships/image" Target="../media/174ded701f30913cb40d8afbe60564b5.jpg"/><Relationship Id="rId132" Type="http://schemas.openxmlformats.org/officeDocument/2006/relationships/image" Target="../media/0d5445ebdb949ca130044ba106c4aea4.jpg"/><Relationship Id="rId133" Type="http://schemas.openxmlformats.org/officeDocument/2006/relationships/image" Target="../media/062c2f755b3277fabcf75f9bc599ebb5.jpg"/><Relationship Id="rId134" Type="http://schemas.openxmlformats.org/officeDocument/2006/relationships/image" Target="../media/3e475732433f44bd68bfe4377e310f1f.jpg"/><Relationship Id="rId135" Type="http://schemas.openxmlformats.org/officeDocument/2006/relationships/image" Target="../media/f4342d3fce5cf96f746156285216c0ce.jpg"/><Relationship Id="rId136" Type="http://schemas.openxmlformats.org/officeDocument/2006/relationships/image" Target="../media/0ffc3371121793aaa3a6a6f6d1624cda.jpg"/><Relationship Id="rId137" Type="http://schemas.openxmlformats.org/officeDocument/2006/relationships/image" Target="../media/967c4f2c2f24d0a54c1a4671df59c968.jpg"/><Relationship Id="rId138" Type="http://schemas.openxmlformats.org/officeDocument/2006/relationships/image" Target="../media/0877518c71451206efc9030c66fa6d25.jpg"/><Relationship Id="rId139" Type="http://schemas.openxmlformats.org/officeDocument/2006/relationships/image" Target="../media/b44f8fff67b741889d562827fd52fc68.jpg"/><Relationship Id="rId140" Type="http://schemas.openxmlformats.org/officeDocument/2006/relationships/image" Target="../media/13c1d671d095bde08e348cd7265af23d.jpg"/><Relationship Id="rId141" Type="http://schemas.openxmlformats.org/officeDocument/2006/relationships/image" Target="../media/3e6e844af684d2ca07369d47b2e31ce8.jpg"/><Relationship Id="rId142" Type="http://schemas.openxmlformats.org/officeDocument/2006/relationships/image" Target="../media/e4da2be9b385aacab5e78033096fe9e3.jpg"/><Relationship Id="rId143" Type="http://schemas.openxmlformats.org/officeDocument/2006/relationships/image" Target="../media/67fd03ae7a08acca539e998223decb3e.jpg"/><Relationship Id="rId144" Type="http://schemas.openxmlformats.org/officeDocument/2006/relationships/image" Target="../media/c69577db4ddc9d85e9c5920da58f29e3.jpg"/><Relationship Id="rId145" Type="http://schemas.openxmlformats.org/officeDocument/2006/relationships/image" Target="../media/07564ccee4ba88e7aa1af72c4b55a1c5.jpg"/><Relationship Id="rId146" Type="http://schemas.openxmlformats.org/officeDocument/2006/relationships/image" Target="../media/2ed1721d8a391a353d5039e5a34cdb35.jpg"/><Relationship Id="rId147" Type="http://schemas.openxmlformats.org/officeDocument/2006/relationships/image" Target="../media/db6a735b3fe9fd8b7900ec5a5915ebb4.jpg"/><Relationship Id="rId148" Type="http://schemas.openxmlformats.org/officeDocument/2006/relationships/image" Target="../media/6919151ea667b9afed697fbb0e892b15.jpg"/><Relationship Id="rId149" Type="http://schemas.openxmlformats.org/officeDocument/2006/relationships/image" Target="../media/ed4c22e676f336340362bad323425207.jpg"/><Relationship Id="rId150" Type="http://schemas.openxmlformats.org/officeDocument/2006/relationships/image" Target="../media/0a3b55c0573646bf86feb5d721694d62.jpg"/><Relationship Id="rId151" Type="http://schemas.openxmlformats.org/officeDocument/2006/relationships/image" Target="../media/6ccbe3d0380ab2324030d7a708d6f6cc.jpg"/><Relationship Id="rId152" Type="http://schemas.openxmlformats.org/officeDocument/2006/relationships/image" Target="../media/cef677ecb116416e357f9d63fc8838cc.jpg"/><Relationship Id="rId153" Type="http://schemas.openxmlformats.org/officeDocument/2006/relationships/image" Target="../media/c4c3d9e75aa048dbdf4a581b5c3cc74d.jpg"/><Relationship Id="rId154" Type="http://schemas.openxmlformats.org/officeDocument/2006/relationships/image" Target="../media/0dc8e19a8511f6d56cfa16c7285a865c.jpg"/><Relationship Id="rId155" Type="http://schemas.openxmlformats.org/officeDocument/2006/relationships/image" Target="../media/d344b3bded3ef75a8d5e6e172638e09c.jpg"/><Relationship Id="rId156" Type="http://schemas.openxmlformats.org/officeDocument/2006/relationships/image" Target="../media/345e97428d8ea02d67e2eb23ff0fdd8f.jpg"/><Relationship Id="rId157" Type="http://schemas.openxmlformats.org/officeDocument/2006/relationships/image" Target="../media/37999454effc078ae88a01fc8bed7c79.jpg"/><Relationship Id="rId158" Type="http://schemas.openxmlformats.org/officeDocument/2006/relationships/image" Target="../media/5fdf99fb333b599830699951eecc447e.jpg"/><Relationship Id="rId159" Type="http://schemas.openxmlformats.org/officeDocument/2006/relationships/image" Target="../media/68d531c584f85278e9b1565622279a06.jpg"/><Relationship Id="rId160" Type="http://schemas.openxmlformats.org/officeDocument/2006/relationships/image" Target="../media/061c03e782b40559d056e666e8923d3b.jpg"/><Relationship Id="rId161" Type="http://schemas.openxmlformats.org/officeDocument/2006/relationships/image" Target="../media/053ea54ca6859c6639492701bda6526a.jpg"/><Relationship Id="rId162" Type="http://schemas.openxmlformats.org/officeDocument/2006/relationships/image" Target="../media/65689ebec5561a0e868406eccda5c57f.jpg"/><Relationship Id="rId163" Type="http://schemas.openxmlformats.org/officeDocument/2006/relationships/image" Target="../media/074c7838365431260da111eaeaaebcb5.jpg"/><Relationship Id="rId164" Type="http://schemas.openxmlformats.org/officeDocument/2006/relationships/image" Target="../media/6a8037abd44bb01446089d549ab6f9a7.jpg"/><Relationship Id="rId165" Type="http://schemas.openxmlformats.org/officeDocument/2006/relationships/image" Target="../media/6e9d47b47e657bdc3b3bd57e805f632d.jpg"/><Relationship Id="rId166" Type="http://schemas.openxmlformats.org/officeDocument/2006/relationships/image" Target="../media/ebd5dbbbaa335da5b068f139868e3de2.jpg"/><Relationship Id="rId167" Type="http://schemas.openxmlformats.org/officeDocument/2006/relationships/image" Target="../media/cc2da83972efd79acbce1bfdfca0cc8f.jpg"/><Relationship Id="rId168" Type="http://schemas.openxmlformats.org/officeDocument/2006/relationships/image" Target="../media/631f23959f8b18f8dafdd4e4860b50af.jpg"/><Relationship Id="rId169" Type="http://schemas.openxmlformats.org/officeDocument/2006/relationships/image" Target="../media/1f5426894b3cc82d41217b1d4e4a19c8.jpg"/><Relationship Id="rId170" Type="http://schemas.openxmlformats.org/officeDocument/2006/relationships/image" Target="../media/e96855a3e7718f7110febbe63fdf3675.jpg"/><Relationship Id="rId171" Type="http://schemas.openxmlformats.org/officeDocument/2006/relationships/image" Target="../media/4d49157e1a0e5fa1bf61eb28cc068a60.jpg"/><Relationship Id="rId172" Type="http://schemas.openxmlformats.org/officeDocument/2006/relationships/image" Target="../media/cd481b3edb1e42ebbd21643ef29b0415.jpg"/><Relationship Id="rId173" Type="http://schemas.openxmlformats.org/officeDocument/2006/relationships/image" Target="../media/397eb6f6d0573f267460f2b6f33fdb4c.jpg"/><Relationship Id="rId174" Type="http://schemas.openxmlformats.org/officeDocument/2006/relationships/image" Target="../media/007f5c0e21d59bda8276a303fc1e3746.jpg"/><Relationship Id="rId175" Type="http://schemas.openxmlformats.org/officeDocument/2006/relationships/image" Target="../media/8e3d399cfd223d29a1055ebae5da77c9.jpg"/><Relationship Id="rId176" Type="http://schemas.openxmlformats.org/officeDocument/2006/relationships/image" Target="../media/f24f46ba1670403af2371d558c3e6fa9.jpg"/><Relationship Id="rId177" Type="http://schemas.openxmlformats.org/officeDocument/2006/relationships/image" Target="../media/3d39640ccca0021f916c37df08823a79.jpg"/><Relationship Id="rId178" Type="http://schemas.openxmlformats.org/officeDocument/2006/relationships/image" Target="../media/bfa754b7eef00536c1f0c43435b401ab.jpg"/><Relationship Id="rId179" Type="http://schemas.openxmlformats.org/officeDocument/2006/relationships/image" Target="../media/9a5ef8fb9f86de9f0888ac3e110a922c.jpg"/><Relationship Id="rId180" Type="http://schemas.openxmlformats.org/officeDocument/2006/relationships/image" Target="../media/d07a8b09d948b97fe57331a7ddd2fd09.jpg"/><Relationship Id="rId181" Type="http://schemas.openxmlformats.org/officeDocument/2006/relationships/image" Target="../media/c0491f5824ea601694d763432c3659ce.jpg"/><Relationship Id="rId182" Type="http://schemas.openxmlformats.org/officeDocument/2006/relationships/image" Target="../media/0dc94d2287bb8fc337f1c3b554f006cb.jpg"/><Relationship Id="rId183" Type="http://schemas.openxmlformats.org/officeDocument/2006/relationships/image" Target="../media/b57c355f84a71f9976240eb5b7f498a4.jpg"/><Relationship Id="rId184" Type="http://schemas.openxmlformats.org/officeDocument/2006/relationships/image" Target="../media/02e2adab80e4a06408016185f5be622d.jpg"/><Relationship Id="rId185" Type="http://schemas.openxmlformats.org/officeDocument/2006/relationships/image" Target="../media/31dadb03518d124a9b72c7f64dbae95e.jpg"/><Relationship Id="rId186" Type="http://schemas.openxmlformats.org/officeDocument/2006/relationships/image" Target="../media/fd89336ee9fbbd14c6536cb0b0c4e56a.jpg"/><Relationship Id="rId187" Type="http://schemas.openxmlformats.org/officeDocument/2006/relationships/image" Target="../media/8c72a48319c3d78a174a7e78d6b853ba.jpg"/><Relationship Id="rId188" Type="http://schemas.openxmlformats.org/officeDocument/2006/relationships/image" Target="../media/984a0cea0060a3bd36588987db107dea.jpg"/><Relationship Id="rId189" Type="http://schemas.openxmlformats.org/officeDocument/2006/relationships/image" Target="../media/c0736e9e2570b558dbed8f781ce85845.jpg"/><Relationship Id="rId190" Type="http://schemas.openxmlformats.org/officeDocument/2006/relationships/image" Target="../media/3856ed434627c0a9ed1ee83ad079ee21.jpg"/><Relationship Id="rId191" Type="http://schemas.openxmlformats.org/officeDocument/2006/relationships/image" Target="../media/89b6ab3c032422253955803758938687.jpg"/><Relationship Id="rId192" Type="http://schemas.openxmlformats.org/officeDocument/2006/relationships/image" Target="../media/b4e7d2776a176fabe1025589e3dacbdd.jpg"/><Relationship Id="rId193" Type="http://schemas.openxmlformats.org/officeDocument/2006/relationships/image" Target="../media/183682c9d9b966ecf7936764ca7cd7b2.jpg"/><Relationship Id="rId194" Type="http://schemas.openxmlformats.org/officeDocument/2006/relationships/image" Target="../media/c25f2f7de5a5c60b2a958a50444f09dd.jpg"/><Relationship Id="rId195" Type="http://schemas.openxmlformats.org/officeDocument/2006/relationships/image" Target="../media/8eecb8ec14722637dcfe99be516ae35d.jpg"/><Relationship Id="rId196" Type="http://schemas.openxmlformats.org/officeDocument/2006/relationships/image" Target="../media/00be0c828af5cc710d476d39e64efe98.jpg"/><Relationship Id="rId197" Type="http://schemas.openxmlformats.org/officeDocument/2006/relationships/image" Target="../media/d1cdf8148d87d4a0f1460f396be3e068.jpg"/><Relationship Id="rId198" Type="http://schemas.openxmlformats.org/officeDocument/2006/relationships/image" Target="../media/7e24e395bbbe479ecb4a2b6de653f293.jpg"/><Relationship Id="rId199" Type="http://schemas.openxmlformats.org/officeDocument/2006/relationships/image" Target="../media/09c4166a0955eae54fc1c61db09dddca.jpg"/><Relationship Id="rId200" Type="http://schemas.openxmlformats.org/officeDocument/2006/relationships/image" Target="../media/7866f2bd360a1fe5db6f1d4ec743c8e9.jpg"/><Relationship Id="rId201" Type="http://schemas.openxmlformats.org/officeDocument/2006/relationships/image" Target="../media/10a55e2db38e6b7221a2bac07277d86d.jpg"/><Relationship Id="rId202" Type="http://schemas.openxmlformats.org/officeDocument/2006/relationships/image" Target="../media/cf0dcd3883c4427dfa08610357920931.jpg"/><Relationship Id="rId203" Type="http://schemas.openxmlformats.org/officeDocument/2006/relationships/image" Target="../media/d74570827593c8fd62b92550d19920df.jpg"/><Relationship Id="rId204" Type="http://schemas.openxmlformats.org/officeDocument/2006/relationships/image" Target="../media/58a04f0de0a6440fa12c73a64d64ec38.jpg"/><Relationship Id="rId205" Type="http://schemas.openxmlformats.org/officeDocument/2006/relationships/image" Target="../media/80b77e66a6d79b3d38f66d49c0b9fe02.jpg"/><Relationship Id="rId206" Type="http://schemas.openxmlformats.org/officeDocument/2006/relationships/image" Target="../media/b681d7073323bbee29abd01c560aa997.jpg"/><Relationship Id="rId207" Type="http://schemas.openxmlformats.org/officeDocument/2006/relationships/image" Target="../media/62b45e814355f56768d36a1846b008ce.jpg"/><Relationship Id="rId208" Type="http://schemas.openxmlformats.org/officeDocument/2006/relationships/image" Target="../media/49942799e0b942d6e242da20a9bd29c4.jpg"/><Relationship Id="rId209" Type="http://schemas.openxmlformats.org/officeDocument/2006/relationships/image" Target="../media/35cce1b458b7aeea87b55670a2f5d7a2.jpg"/><Relationship Id="rId210" Type="http://schemas.openxmlformats.org/officeDocument/2006/relationships/image" Target="../media/debc4649059020cb520280cdbedcb52a.jpg"/><Relationship Id="rId211" Type="http://schemas.openxmlformats.org/officeDocument/2006/relationships/image" Target="../media/02eba2ca16d23b128f6b13a4f4750b93.jpg"/><Relationship Id="rId212" Type="http://schemas.openxmlformats.org/officeDocument/2006/relationships/image" Target="../media/538cbf3311a53b4dbdee30fa38c57a52.jpg"/><Relationship Id="rId213" Type="http://schemas.openxmlformats.org/officeDocument/2006/relationships/image" Target="../media/8c1f7c96c5b36d2cbfb978d5c1f8e074.jpg"/><Relationship Id="rId214" Type="http://schemas.openxmlformats.org/officeDocument/2006/relationships/image" Target="../media/83385282d0784aa3aaabc7deff68e993.jpg"/><Relationship Id="rId215" Type="http://schemas.openxmlformats.org/officeDocument/2006/relationships/image" Target="../media/3fcf439e593514db1ea51862d086d4d9.jpg"/><Relationship Id="rId216" Type="http://schemas.openxmlformats.org/officeDocument/2006/relationships/image" Target="../media/9a409f1582d42734dc80f5996ff165b2.jpg"/><Relationship Id="rId217" Type="http://schemas.openxmlformats.org/officeDocument/2006/relationships/image" Target="../media/6681f02100ee5f1fc742f5812257a7a1.jpg"/><Relationship Id="rId218" Type="http://schemas.openxmlformats.org/officeDocument/2006/relationships/image" Target="../media/af5a1974b176d014e7fba827b7e5b6d2.jpg"/><Relationship Id="rId219" Type="http://schemas.openxmlformats.org/officeDocument/2006/relationships/image" Target="../media/030b2a2514371c2f6bb0b59073fd04e4.jpg"/><Relationship Id="rId220" Type="http://schemas.openxmlformats.org/officeDocument/2006/relationships/image" Target="../media/8379702fffc7fc0b87db858fd5520f5f.jpg"/><Relationship Id="rId221" Type="http://schemas.openxmlformats.org/officeDocument/2006/relationships/image" Target="../media/d1de3ead3b833468ef98bcf6e7ce9512.jpg"/><Relationship Id="rId222" Type="http://schemas.openxmlformats.org/officeDocument/2006/relationships/image" Target="../media/3f2cb7be95c1cfbc7ea63cb0d7b78604.jpg"/><Relationship Id="rId223" Type="http://schemas.openxmlformats.org/officeDocument/2006/relationships/image" Target="../media/6d77897f4522a59cd43b3c7ed14d6f59.jpg"/><Relationship Id="rId224" Type="http://schemas.openxmlformats.org/officeDocument/2006/relationships/image" Target="../media/4769d331bfef2213cdff195a96edc772.jpg"/><Relationship Id="rId225" Type="http://schemas.openxmlformats.org/officeDocument/2006/relationships/image" Target="../media/63c4ed10f8a102f717414c8fe1caf4b6.jpg"/><Relationship Id="rId226" Type="http://schemas.openxmlformats.org/officeDocument/2006/relationships/image" Target="../media/8e657741733517138fd9edd1eb546a55.jpg"/><Relationship Id="rId227" Type="http://schemas.openxmlformats.org/officeDocument/2006/relationships/image" Target="../media/7d4afffc0a7e23aeaaf712ccc758a5a0.jpg"/><Relationship Id="rId228" Type="http://schemas.openxmlformats.org/officeDocument/2006/relationships/image" Target="../media/e0151cb7abd1e959f7ed0d53a41795a2.jpg"/><Relationship Id="rId229" Type="http://schemas.openxmlformats.org/officeDocument/2006/relationships/image" Target="../media/de020b8647b578200af0f5b63bc355cc.jpg"/><Relationship Id="rId230" Type="http://schemas.openxmlformats.org/officeDocument/2006/relationships/image" Target="../media/575c1e083ceef437451e763319a87017.jpg"/><Relationship Id="rId231" Type="http://schemas.openxmlformats.org/officeDocument/2006/relationships/image" Target="../media/45101fe05d01d55868f01a0c41e1c206.jpg"/><Relationship Id="rId232" Type="http://schemas.openxmlformats.org/officeDocument/2006/relationships/image" Target="../media/d9d2703ed0202d29eb022dace4b01bc5.jpg"/><Relationship Id="rId233" Type="http://schemas.openxmlformats.org/officeDocument/2006/relationships/image" Target="../media/7b113d4d3fc5ba300a691b9ef60948c2.jpg"/><Relationship Id="rId234" Type="http://schemas.openxmlformats.org/officeDocument/2006/relationships/image" Target="../media/0f46b7f9255697e03d94d8f11adfcccf.jpg"/><Relationship Id="rId235" Type="http://schemas.openxmlformats.org/officeDocument/2006/relationships/image" Target="../media/4d824f64efb8647ccf740821ea5fc9e5.jpg"/><Relationship Id="rId236" Type="http://schemas.openxmlformats.org/officeDocument/2006/relationships/image" Target="../media/a697c07892fa2dccb533b9e5eaf83b91.jpg"/><Relationship Id="rId237" Type="http://schemas.openxmlformats.org/officeDocument/2006/relationships/image" Target="../media/049660ca3fb51ef07c226d0fd53e295f.jpg"/><Relationship Id="rId238" Type="http://schemas.openxmlformats.org/officeDocument/2006/relationships/image" Target="../media/38f65d89787a132f5ec9c2495404d0b1.jpg"/><Relationship Id="rId239" Type="http://schemas.openxmlformats.org/officeDocument/2006/relationships/image" Target="../media/26ddebd5c28beb160e9637bbd5ef46a3.jpg"/><Relationship Id="rId240" Type="http://schemas.openxmlformats.org/officeDocument/2006/relationships/image" Target="../media/894d8b747a920ebd41d0dd1f19857eaf.jpg"/><Relationship Id="rId241" Type="http://schemas.openxmlformats.org/officeDocument/2006/relationships/image" Target="../media/b3a4f43da542dbd69763efdf662dc60a.jpg"/><Relationship Id="rId242" Type="http://schemas.openxmlformats.org/officeDocument/2006/relationships/image" Target="../media/f4056410326bd710017fd30266c6d6bc.jpg"/><Relationship Id="rId243" Type="http://schemas.openxmlformats.org/officeDocument/2006/relationships/image" Target="../media/1e1e0b77150ec66481e389e55300fcd6.jpg"/><Relationship Id="rId244" Type="http://schemas.openxmlformats.org/officeDocument/2006/relationships/image" Target="../media/acee9629bc881ebce7f98655e20acd5a.jpg"/><Relationship Id="rId245" Type="http://schemas.openxmlformats.org/officeDocument/2006/relationships/image" Target="../media/601836e7b19a7731e60c34a26a2bbd0a.jpg"/><Relationship Id="rId246" Type="http://schemas.openxmlformats.org/officeDocument/2006/relationships/image" Target="../media/aaf77a7ea0f483a044dee9602a9131fc.jpg"/><Relationship Id="rId247" Type="http://schemas.openxmlformats.org/officeDocument/2006/relationships/image" Target="../media/147a1407fe588f056b8c9bb550a6c905.jpg"/><Relationship Id="rId248" Type="http://schemas.openxmlformats.org/officeDocument/2006/relationships/image" Target="../media/2f6f5b51be910148396e0d671c4417cb.jpg"/><Relationship Id="rId249" Type="http://schemas.openxmlformats.org/officeDocument/2006/relationships/image" Target="../media/f789888428d6aaede002bbe6638bc8b5.jpg"/><Relationship Id="rId250" Type="http://schemas.openxmlformats.org/officeDocument/2006/relationships/image" Target="../media/530f6cfbaf021dcbaf009a253c82cc54.jpg"/><Relationship Id="rId251" Type="http://schemas.openxmlformats.org/officeDocument/2006/relationships/image" Target="../media/0df26185aec0459d60a3bdd65438d3a4.jpg"/><Relationship Id="rId252" Type="http://schemas.openxmlformats.org/officeDocument/2006/relationships/image" Target="../media/285e060d9f5dee89838a9c7cfa3cc70c.jpg"/><Relationship Id="rId253" Type="http://schemas.openxmlformats.org/officeDocument/2006/relationships/image" Target="../media/4bf0edaa2a37284329fbdab4862259db.jpg"/><Relationship Id="rId254" Type="http://schemas.openxmlformats.org/officeDocument/2006/relationships/image" Target="../media/ac7d4d659abe65dbd3ffa6484693c879.jpg"/><Relationship Id="rId255" Type="http://schemas.openxmlformats.org/officeDocument/2006/relationships/image" Target="../media/137a93d99863ab5ec6da64f56cac234c.jpg"/><Relationship Id="rId256" Type="http://schemas.openxmlformats.org/officeDocument/2006/relationships/image" Target="../media/b43e817ed4617cb95fed375bc450b1ae.jpg"/><Relationship Id="rId257" Type="http://schemas.openxmlformats.org/officeDocument/2006/relationships/image" Target="../media/893695e803989f6b8490f3aa791556ae.jpg"/><Relationship Id="rId258" Type="http://schemas.openxmlformats.org/officeDocument/2006/relationships/image" Target="../media/3b75707400dfb1f856fc164c4da5aecc.jpg"/><Relationship Id="rId259" Type="http://schemas.openxmlformats.org/officeDocument/2006/relationships/image" Target="../media/41798823f517b3beb2a9edc98e5a54b0.jpg"/><Relationship Id="rId260" Type="http://schemas.openxmlformats.org/officeDocument/2006/relationships/image" Target="../media/cf0bc1da508809f77337ea99b5751c1a.jpg"/><Relationship Id="rId261" Type="http://schemas.openxmlformats.org/officeDocument/2006/relationships/image" Target="../media/c83999659016cf682e890da915d36a28.jpg"/><Relationship Id="rId262" Type="http://schemas.openxmlformats.org/officeDocument/2006/relationships/image" Target="../media/9db97d42fc3fc3689c8ad220624c5dcc.jpg"/><Relationship Id="rId263" Type="http://schemas.openxmlformats.org/officeDocument/2006/relationships/image" Target="../media/13e8347f1aef25c3ded8b7194c8428d2.jpg"/><Relationship Id="rId264" Type="http://schemas.openxmlformats.org/officeDocument/2006/relationships/image" Target="../media/09804003521838cbc4067929b99b264b.jpg"/><Relationship Id="rId265" Type="http://schemas.openxmlformats.org/officeDocument/2006/relationships/image" Target="../media/c3bd8a9640395dd0f87bb2680a773b47.jpg"/><Relationship Id="rId266" Type="http://schemas.openxmlformats.org/officeDocument/2006/relationships/image" Target="../media/05b00c7376ac12b641c109ed1060642a.jpg"/><Relationship Id="rId267" Type="http://schemas.openxmlformats.org/officeDocument/2006/relationships/image" Target="../media/668bdf5f76f25efa289f84b2e2a5ea41.jpg"/><Relationship Id="rId268" Type="http://schemas.openxmlformats.org/officeDocument/2006/relationships/image" Target="../media/365a65689724344adc11bb986d5efc2e.jpg"/><Relationship Id="rId269" Type="http://schemas.openxmlformats.org/officeDocument/2006/relationships/image" Target="../media/7aaf09573afc8026ae6961a4ccc07460.jpg"/><Relationship Id="rId270" Type="http://schemas.openxmlformats.org/officeDocument/2006/relationships/image" Target="../media/2e61480050abd87521f594bcd63ffd4a.jpg"/><Relationship Id="rId271" Type="http://schemas.openxmlformats.org/officeDocument/2006/relationships/image" Target="../media/9391fb3ab3c8b36467a5cfc75afd14fc.jpg"/><Relationship Id="rId272" Type="http://schemas.openxmlformats.org/officeDocument/2006/relationships/image" Target="../media/2c3d2e7498e7909463398e97dcf0c451.jpg"/><Relationship Id="rId273" Type="http://schemas.openxmlformats.org/officeDocument/2006/relationships/image" Target="../media/45c907c2d024ab953b73aea557d9ca86.jpg"/><Relationship Id="rId274" Type="http://schemas.openxmlformats.org/officeDocument/2006/relationships/image" Target="../media/a6d135f480f4498e56ff82370919a3bf.jpg"/><Relationship Id="rId275" Type="http://schemas.openxmlformats.org/officeDocument/2006/relationships/image" Target="../media/ebf05ff464ab8f186f707c04e4b33f59.jpg"/><Relationship Id="rId276" Type="http://schemas.openxmlformats.org/officeDocument/2006/relationships/image" Target="../media/9bc95e630d5ca22012aa62f404029730.jpg"/><Relationship Id="rId277" Type="http://schemas.openxmlformats.org/officeDocument/2006/relationships/image" Target="../media/21da49b26ceeaa99cf8e5c107dc9990c.jpg"/><Relationship Id="rId278" Type="http://schemas.openxmlformats.org/officeDocument/2006/relationships/image" Target="../media/e1e36309c4f8275d3b278fd9752b5598.jpg"/><Relationship Id="rId279" Type="http://schemas.openxmlformats.org/officeDocument/2006/relationships/image" Target="../media/9c478ad64e502770f130d8b914eb923b.jpg"/><Relationship Id="rId280" Type="http://schemas.openxmlformats.org/officeDocument/2006/relationships/image" Target="../media/21e57ad9a2f6c005d17b22c9fad93924.jpg"/><Relationship Id="rId281" Type="http://schemas.openxmlformats.org/officeDocument/2006/relationships/image" Target="../media/808c0f07d98d1b1abf525faea0d9380a.jpg"/><Relationship Id="rId282" Type="http://schemas.openxmlformats.org/officeDocument/2006/relationships/image" Target="../media/52a12ac28d554b1a1d07e314816c9b3d.jpg"/><Relationship Id="rId283" Type="http://schemas.openxmlformats.org/officeDocument/2006/relationships/image" Target="../media/e8d3a50b3d7a07376198adf851f946d1.jpg"/><Relationship Id="rId284" Type="http://schemas.openxmlformats.org/officeDocument/2006/relationships/image" Target="../media/edfc82c355e7ddf0c8fc9f650efba3e6.jpg"/><Relationship Id="rId285" Type="http://schemas.openxmlformats.org/officeDocument/2006/relationships/image" Target="../media/e608dbaaa21b97a233f6984461d140b7.jpg"/><Relationship Id="rId286" Type="http://schemas.openxmlformats.org/officeDocument/2006/relationships/image" Target="../media/8fd0f0884796427a289021942d4fa88a.jpg"/><Relationship Id="rId287" Type="http://schemas.openxmlformats.org/officeDocument/2006/relationships/image" Target="../media/94c900d4fb2bf6278a8a1d321fed7566.jpg"/><Relationship Id="rId288" Type="http://schemas.openxmlformats.org/officeDocument/2006/relationships/image" Target="../media/cddd45c3b80ecf5c6634db728cbb17a1.jpg"/><Relationship Id="rId289" Type="http://schemas.openxmlformats.org/officeDocument/2006/relationships/image" Target="../media/5165e3eceb751af13560e16dbe7cea10.jpg"/><Relationship Id="rId290" Type="http://schemas.openxmlformats.org/officeDocument/2006/relationships/image" Target="../media/843f46015b9dc604992e532a6cc55b4c.jpg"/><Relationship Id="rId291" Type="http://schemas.openxmlformats.org/officeDocument/2006/relationships/image" Target="../media/084bba3c756138268ef04bbf53922d1c.jpg"/><Relationship Id="rId292" Type="http://schemas.openxmlformats.org/officeDocument/2006/relationships/image" Target="../media/a0d09b7326aa489ad8729cf11ce69c15.jpg"/><Relationship Id="rId293" Type="http://schemas.openxmlformats.org/officeDocument/2006/relationships/image" Target="../media/fd51968758a383cbcce7d066f1e4a0fe.jpg"/><Relationship Id="rId294" Type="http://schemas.openxmlformats.org/officeDocument/2006/relationships/image" Target="../media/21a221264242199120dd046fae70f3b4.jpg"/><Relationship Id="rId295" Type="http://schemas.openxmlformats.org/officeDocument/2006/relationships/image" Target="../media/53d35ceb76a84217eaf3448614837ff6.jpg"/><Relationship Id="rId296" Type="http://schemas.openxmlformats.org/officeDocument/2006/relationships/image" Target="../media/69d4649854f975912c5fdddae34edc32.jpg"/><Relationship Id="rId297" Type="http://schemas.openxmlformats.org/officeDocument/2006/relationships/image" Target="../media/f81fcfd0682373764dcfec7ff5a146f7.jpg"/><Relationship Id="rId298" Type="http://schemas.openxmlformats.org/officeDocument/2006/relationships/image" Target="../media/60cccbdf14ed17457717310626276ba0.jpg"/><Relationship Id="rId299" Type="http://schemas.openxmlformats.org/officeDocument/2006/relationships/image" Target="../media/195bf83829f542c6d2b47f63a9757816.jpg"/><Relationship Id="rId300" Type="http://schemas.openxmlformats.org/officeDocument/2006/relationships/image" Target="../media/766de558d2a832953bdb2f51c00d4d43.jpg"/><Relationship Id="rId301" Type="http://schemas.openxmlformats.org/officeDocument/2006/relationships/image" Target="../media/e03f51e07c811047eb39fa8b5af812f1.jpg"/><Relationship Id="rId302" Type="http://schemas.openxmlformats.org/officeDocument/2006/relationships/image" Target="../media/ca3950d0f9b9def447e8dc818d8ada19.jpg"/><Relationship Id="rId303" Type="http://schemas.openxmlformats.org/officeDocument/2006/relationships/image" Target="../media/017872f6b3d3e1ba7b8e8228f0dd9759.jpg"/><Relationship Id="rId304" Type="http://schemas.openxmlformats.org/officeDocument/2006/relationships/image" Target="../media/0268a34525fbabc852a04a4870d4b239.jpg"/><Relationship Id="rId305" Type="http://schemas.openxmlformats.org/officeDocument/2006/relationships/image" Target="../media/dbc66a4cff9bac67e4bbf26e34296a58.jpg"/><Relationship Id="rId306" Type="http://schemas.openxmlformats.org/officeDocument/2006/relationships/image" Target="../media/6862a4af0de7fc21fc9f2cc52c866b18.jpg"/><Relationship Id="rId307" Type="http://schemas.openxmlformats.org/officeDocument/2006/relationships/image" Target="../media/24491c145a350fc35ae764451f62de79.jpg"/><Relationship Id="rId308" Type="http://schemas.openxmlformats.org/officeDocument/2006/relationships/image" Target="../media/319e1fe7b5bf44b49871761c27b9d461.jpg"/><Relationship Id="rId309" Type="http://schemas.openxmlformats.org/officeDocument/2006/relationships/image" Target="../media/b6f75f0e59ea9944bae09d6cfbe37544.jpg"/><Relationship Id="rId310" Type="http://schemas.openxmlformats.org/officeDocument/2006/relationships/image" Target="../media/a5d012ac3cab8db9e13301d560fbe146.jpg"/><Relationship Id="rId311" Type="http://schemas.openxmlformats.org/officeDocument/2006/relationships/image" Target="../media/ad3ddaf76110ab76cb009d481c75bf07.jpg"/><Relationship Id="rId312" Type="http://schemas.openxmlformats.org/officeDocument/2006/relationships/image" Target="../media/faca408f1176900c14bd9df7b801c8dd.jpg"/><Relationship Id="rId313" Type="http://schemas.openxmlformats.org/officeDocument/2006/relationships/image" Target="../media/80859e8d81197940da901f1d80c0defc.jpg"/><Relationship Id="rId314" Type="http://schemas.openxmlformats.org/officeDocument/2006/relationships/image" Target="../media/5e2a56cfdab5148312953b1f16699f39.jpg"/><Relationship Id="rId315" Type="http://schemas.openxmlformats.org/officeDocument/2006/relationships/image" Target="../media/d9997fd55fdaa169aebc6d0ff0d19cee.jpg"/><Relationship Id="rId316" Type="http://schemas.openxmlformats.org/officeDocument/2006/relationships/image" Target="../media/2aa341ca29d6e4ab33e059e1ed16ee23.jpg"/><Relationship Id="rId317" Type="http://schemas.openxmlformats.org/officeDocument/2006/relationships/image" Target="../media/c886e6e9439a37663f0e2e814160723e.jpg"/><Relationship Id="rId318" Type="http://schemas.openxmlformats.org/officeDocument/2006/relationships/image" Target="../media/5a7ba5764fd9b004453d2cb8db3e2762.jpg"/><Relationship Id="rId319" Type="http://schemas.openxmlformats.org/officeDocument/2006/relationships/image" Target="../media/fb4aa09a39eff2563afc98b48458d104.jpg"/><Relationship Id="rId320" Type="http://schemas.openxmlformats.org/officeDocument/2006/relationships/image" Target="../media/ec6af5f0d8ad2156950b94ab92e8f534.jpg"/><Relationship Id="rId321" Type="http://schemas.openxmlformats.org/officeDocument/2006/relationships/image" Target="../media/7821132b5c95e08622ee7391108fd602.jpg"/><Relationship Id="rId322" Type="http://schemas.openxmlformats.org/officeDocument/2006/relationships/image" Target="../media/03eb048c90543d5d72ab6600db64ccea.jpg"/><Relationship Id="rId323" Type="http://schemas.openxmlformats.org/officeDocument/2006/relationships/image" Target="../media/6d5ce3741f087877c8b69ae735716fc9.jpg"/><Relationship Id="rId324" Type="http://schemas.openxmlformats.org/officeDocument/2006/relationships/image" Target="../media/1f6fd5b2ab43a443d8d55005f8cdb15a.jpg"/><Relationship Id="rId325" Type="http://schemas.openxmlformats.org/officeDocument/2006/relationships/image" Target="../media/100cfb4143f6d2aa3348334d1aeeb39a.jpg"/><Relationship Id="rId326" Type="http://schemas.openxmlformats.org/officeDocument/2006/relationships/image" Target="../media/5958b135dedcb4f6a78b08ed17f5fc28.jpg"/><Relationship Id="rId327" Type="http://schemas.openxmlformats.org/officeDocument/2006/relationships/image" Target="../media/acc0acdbe24c11704e0a972bc6613b46.jpg"/><Relationship Id="rId328" Type="http://schemas.openxmlformats.org/officeDocument/2006/relationships/image" Target="../media/9ec37098125f54cae86063fc71e767bb.jpg"/><Relationship Id="rId329" Type="http://schemas.openxmlformats.org/officeDocument/2006/relationships/image" Target="../media/3c9ccb21b584911592b7c2df524326b5.jpg"/><Relationship Id="rId330" Type="http://schemas.openxmlformats.org/officeDocument/2006/relationships/image" Target="../media/6d5ce3741f087877c8b69ae735716fc9.jpg"/><Relationship Id="rId331" Type="http://schemas.openxmlformats.org/officeDocument/2006/relationships/image" Target="../media/1e272f91edb141bbad77a970a8ca71cf.jpg"/><Relationship Id="rId332" Type="http://schemas.openxmlformats.org/officeDocument/2006/relationships/image" Target="../media/692f0ede82bf38f32a1328d896cb556a.jpg"/><Relationship Id="rId333" Type="http://schemas.openxmlformats.org/officeDocument/2006/relationships/image" Target="../media/8e98806768121ab4ea8afae0d6f8a281.jpg"/><Relationship Id="rId334" Type="http://schemas.openxmlformats.org/officeDocument/2006/relationships/image" Target="../media/a945f23f7faf2732eb1fba6d272fb7c2.jpg"/><Relationship Id="rId335" Type="http://schemas.openxmlformats.org/officeDocument/2006/relationships/image" Target="../media/985f30b7bab246c4c492a70834ddb4e5.jpg"/><Relationship Id="rId336" Type="http://schemas.openxmlformats.org/officeDocument/2006/relationships/image" Target="../media/8543e75bfde97a978af62fc1fc567aee.jpg"/><Relationship Id="rId337" Type="http://schemas.openxmlformats.org/officeDocument/2006/relationships/image" Target="../media/a67cae5ee6aab6ddbcb69e8f0286c24b.jpg"/><Relationship Id="rId338" Type="http://schemas.openxmlformats.org/officeDocument/2006/relationships/image" Target="../media/783e1d28643054bf40d621f8d9a66f1c.jpg"/><Relationship Id="rId339" Type="http://schemas.openxmlformats.org/officeDocument/2006/relationships/image" Target="../media/148fffdecdeec30c1b21c04c8c01b9aa.jpg"/><Relationship Id="rId340" Type="http://schemas.openxmlformats.org/officeDocument/2006/relationships/image" Target="../media/da88bbdd60fcdcf74ae7fcc0d12f03e0.jpg"/><Relationship Id="rId341" Type="http://schemas.openxmlformats.org/officeDocument/2006/relationships/image" Target="../media/f26914b50a2c7a246405268d6d956882.jpg"/><Relationship Id="rId342" Type="http://schemas.openxmlformats.org/officeDocument/2006/relationships/image" Target="../media/9dcb6dbdce477d8d4668ab3c95871db5.jpg"/><Relationship Id="rId343" Type="http://schemas.openxmlformats.org/officeDocument/2006/relationships/image" Target="../media/3d0874e7ec5ca39194c45fc586eef42f.jpg"/><Relationship Id="rId344" Type="http://schemas.openxmlformats.org/officeDocument/2006/relationships/image" Target="../media/1a74a12c8c0584b3479bd462ae9c871d.jpg"/><Relationship Id="rId345" Type="http://schemas.openxmlformats.org/officeDocument/2006/relationships/image" Target="../media/35d401970daa85ab132c974d5c57b7e7.jpg"/><Relationship Id="rId346" Type="http://schemas.openxmlformats.org/officeDocument/2006/relationships/image" Target="../media/fb36b09821889e62cf16f9c5478a722b.jpg"/><Relationship Id="rId347" Type="http://schemas.openxmlformats.org/officeDocument/2006/relationships/image" Target="../media/a07435d00b5b556f05a6f2d1dff1ab36.jpg"/><Relationship Id="rId348" Type="http://schemas.openxmlformats.org/officeDocument/2006/relationships/image" Target="../media/14e3267a1ce05facb4bfd0fd6d90c6a3.jpg"/><Relationship Id="rId349" Type="http://schemas.openxmlformats.org/officeDocument/2006/relationships/image" Target="../media/2506976b4d6683b88c8ecaff5048cc20.jpg"/><Relationship Id="rId350" Type="http://schemas.openxmlformats.org/officeDocument/2006/relationships/image" Target="../media/10df8ef64f861669f3a9c27e3313720b.jpg"/><Relationship Id="rId351" Type="http://schemas.openxmlformats.org/officeDocument/2006/relationships/image" Target="../media/b65e9a8f87fa4dae1510a901c4308b80.jpg"/><Relationship Id="rId352" Type="http://schemas.openxmlformats.org/officeDocument/2006/relationships/image" Target="../media/eebbbdd5ef3a49a47308c230dba5d63a.jpg"/><Relationship Id="rId353" Type="http://schemas.openxmlformats.org/officeDocument/2006/relationships/image" Target="../media/42c0db44b704147b4007988ccd6aeb53.jpg"/><Relationship Id="rId354" Type="http://schemas.openxmlformats.org/officeDocument/2006/relationships/image" Target="../media/ead93325a2d95edbb2b5180043c022fc.jpg"/><Relationship Id="rId355" Type="http://schemas.openxmlformats.org/officeDocument/2006/relationships/image" Target="../media/1515c4d0d44437cee8305182445d20bb.jpg"/><Relationship Id="rId356" Type="http://schemas.openxmlformats.org/officeDocument/2006/relationships/image" Target="../media/fcbc69fb99e3976dc668fb0f5b0440c3.jpg"/><Relationship Id="rId357" Type="http://schemas.openxmlformats.org/officeDocument/2006/relationships/image" Target="../media/9dcc9e9a2b9e68594837a221d0dafee2.jpg"/><Relationship Id="rId358" Type="http://schemas.openxmlformats.org/officeDocument/2006/relationships/image" Target="../media/490921ffe55a770d9a20e8eb53f1093d.jpg"/><Relationship Id="rId359" Type="http://schemas.openxmlformats.org/officeDocument/2006/relationships/image" Target="../media/818e6056d0ed911f58356cd7a47f0b7c.jpg"/><Relationship Id="rId360" Type="http://schemas.openxmlformats.org/officeDocument/2006/relationships/image" Target="../media/de990dbad53778a782cf62703094f98e.jpg"/><Relationship Id="rId361" Type="http://schemas.openxmlformats.org/officeDocument/2006/relationships/image" Target="../media/db744eb58af8bba248ae98c87f4b9b60.jpg"/><Relationship Id="rId362" Type="http://schemas.openxmlformats.org/officeDocument/2006/relationships/image" Target="../media/6058e864876e324bb54efcfd58332f85.jpg"/><Relationship Id="rId363" Type="http://schemas.openxmlformats.org/officeDocument/2006/relationships/image" Target="../media/6a1c2e872ee4a9edbecebd0370cdca07.jpg"/><Relationship Id="rId364" Type="http://schemas.openxmlformats.org/officeDocument/2006/relationships/image" Target="../media/af8a4c1970a6e9f0fecc903cd9cd8d57.jpg"/><Relationship Id="rId365" Type="http://schemas.openxmlformats.org/officeDocument/2006/relationships/image" Target="../media/ee076af4a5e199305244a682031cb4a4.jpg"/><Relationship Id="rId366" Type="http://schemas.openxmlformats.org/officeDocument/2006/relationships/image" Target="../media/e9bf83be9ab5ae222af45b8cd14f4eb6.jpg"/><Relationship Id="rId367" Type="http://schemas.openxmlformats.org/officeDocument/2006/relationships/image" Target="../media/ea7b4b9f53135cff1580e6bcd4157842.jpg"/><Relationship Id="rId368" Type="http://schemas.openxmlformats.org/officeDocument/2006/relationships/image" Target="../media/5319703630ad427036b29f5b9cb49c00.jpg"/><Relationship Id="rId369" Type="http://schemas.openxmlformats.org/officeDocument/2006/relationships/image" Target="../media/bb6b8419db963b70fbab7a8a5205155e.jpg"/><Relationship Id="rId370" Type="http://schemas.openxmlformats.org/officeDocument/2006/relationships/image" Target="../media/1f51c134cf3ee65866a4e9b1dcc417c8.jpg"/><Relationship Id="rId371" Type="http://schemas.openxmlformats.org/officeDocument/2006/relationships/image" Target="../media/f2ca645e44928ed216cab5fa217566f2.jpg"/><Relationship Id="rId372" Type="http://schemas.openxmlformats.org/officeDocument/2006/relationships/image" Target="../media/980366ac5358e107a067cbcea60c4176.jpg"/><Relationship Id="rId373" Type="http://schemas.openxmlformats.org/officeDocument/2006/relationships/image" Target="../media/9cedae5192b4ab5da88ae4ac892ce692.jpg"/><Relationship Id="rId374" Type="http://schemas.openxmlformats.org/officeDocument/2006/relationships/image" Target="../media/487fc16392ad60ead9a7d9c3bcf9f113.jpg"/><Relationship Id="rId375" Type="http://schemas.openxmlformats.org/officeDocument/2006/relationships/image" Target="../media/3012c7530fbfd34bcef388b3960c622f.jpg"/><Relationship Id="rId376" Type="http://schemas.openxmlformats.org/officeDocument/2006/relationships/image" Target="../media/12161b49accdf916d7745b5d3ad9c6b0.jpg"/><Relationship Id="rId377" Type="http://schemas.openxmlformats.org/officeDocument/2006/relationships/image" Target="../media/a176b5f0ea6e28a670da19e74e4f143c.jpg"/><Relationship Id="rId378" Type="http://schemas.openxmlformats.org/officeDocument/2006/relationships/image" Target="../media/6ed5dced94287d39c08596cb6d7ffa50.jpg"/><Relationship Id="rId379" Type="http://schemas.openxmlformats.org/officeDocument/2006/relationships/image" Target="../media/8286f0195a758b7662f53f720fef1ff5.jpg"/><Relationship Id="rId380" Type="http://schemas.openxmlformats.org/officeDocument/2006/relationships/image" Target="../media/8435270f13574e693ed3c5bfb882de9c.jpg"/><Relationship Id="rId381" Type="http://schemas.openxmlformats.org/officeDocument/2006/relationships/image" Target="../media/241ec3c03ae0daafc61ec5548e2c1b1d.jpg"/><Relationship Id="rId382" Type="http://schemas.openxmlformats.org/officeDocument/2006/relationships/image" Target="../media/604f9f7b442c6025436db092583138fb.jpg"/><Relationship Id="rId383" Type="http://schemas.openxmlformats.org/officeDocument/2006/relationships/image" Target="../media/89c6fe026aeb7dd244104b7d99ddcdbd.jpg"/><Relationship Id="rId384" Type="http://schemas.openxmlformats.org/officeDocument/2006/relationships/image" Target="../media/2d43350539807ead5598089f27dbece3.jpg"/><Relationship Id="rId385" Type="http://schemas.openxmlformats.org/officeDocument/2006/relationships/image" Target="../media/724c967557c2e78a6b9d45d0a71fbcf7.jpg"/><Relationship Id="rId386" Type="http://schemas.openxmlformats.org/officeDocument/2006/relationships/image" Target="../media/5060e8e7fd0e44988364be444ff525dd.jpg"/><Relationship Id="rId387" Type="http://schemas.openxmlformats.org/officeDocument/2006/relationships/image" Target="../media/f09b6d4e56baac3b2c4d3c6259dae0a4.jpg"/><Relationship Id="rId388" Type="http://schemas.openxmlformats.org/officeDocument/2006/relationships/image" Target="../media/353c046bbf6f6454e8e2deb3c2314aba.jpg"/><Relationship Id="rId389" Type="http://schemas.openxmlformats.org/officeDocument/2006/relationships/image" Target="../media/ea922e7afe6a5c22e1e285db223256ee.jpg"/><Relationship Id="rId390" Type="http://schemas.openxmlformats.org/officeDocument/2006/relationships/image" Target="../media/643c3707e2fdb21903f15d3d9d44a5ec.jpg"/><Relationship Id="rId391" Type="http://schemas.openxmlformats.org/officeDocument/2006/relationships/image" Target="../media/ebabe33166455973e9da698258056554.jpg"/><Relationship Id="rId392" Type="http://schemas.openxmlformats.org/officeDocument/2006/relationships/image" Target="../media/b4002e6fb9ba0e214ffc94edba8e0585.jpg"/><Relationship Id="rId393" Type="http://schemas.openxmlformats.org/officeDocument/2006/relationships/image" Target="../media/fa79a5683f8a3c7366b3bd08e7e91cbf.jpg"/><Relationship Id="rId394" Type="http://schemas.openxmlformats.org/officeDocument/2006/relationships/image" Target="../media/f7c529bea1193825eab3e500baf05005.jpg"/><Relationship Id="rId395" Type="http://schemas.openxmlformats.org/officeDocument/2006/relationships/image" Target="../media/d328c5c626fd4e7d36cbabaa590e74cb.jpg"/><Relationship Id="rId396" Type="http://schemas.openxmlformats.org/officeDocument/2006/relationships/image" Target="../media/e9c9a9f4b8778068bc62a901dd34f6d1.jpg"/><Relationship Id="rId397" Type="http://schemas.openxmlformats.org/officeDocument/2006/relationships/image" Target="../media/1e1e58f55bd380884b8b2b300e8e8330.jpg"/><Relationship Id="rId398" Type="http://schemas.openxmlformats.org/officeDocument/2006/relationships/image" Target="../media/dfb6e16a4a4ba4dab600de1f3d3af56c.jpg"/><Relationship Id="rId399" Type="http://schemas.openxmlformats.org/officeDocument/2006/relationships/image" Target="../media/aa2a8c5e94f07e85762f21255da24380.jpg"/><Relationship Id="rId400" Type="http://schemas.openxmlformats.org/officeDocument/2006/relationships/image" Target="../media/4de14e28c386cf5a39afb59ffec35f13.jpg"/><Relationship Id="rId401" Type="http://schemas.openxmlformats.org/officeDocument/2006/relationships/image" Target="../media/dc0424332398c1d0fc6769e2e1eec34e.jpg"/><Relationship Id="rId402" Type="http://schemas.openxmlformats.org/officeDocument/2006/relationships/image" Target="../media/0fa3114d9237c1ea1eaaa6146acf6649.jpg"/><Relationship Id="rId403" Type="http://schemas.openxmlformats.org/officeDocument/2006/relationships/image" Target="../media/13740754f866e060772eb82f2b62b614.jpg"/><Relationship Id="rId404" Type="http://schemas.openxmlformats.org/officeDocument/2006/relationships/image" Target="../media/685e45199c83b9523c5dece2605d3588.jpg"/><Relationship Id="rId405" Type="http://schemas.openxmlformats.org/officeDocument/2006/relationships/image" Target="../media/1153eb931204847b0602f951987b881e.jpg"/><Relationship Id="rId406" Type="http://schemas.openxmlformats.org/officeDocument/2006/relationships/image" Target="../media/8d87306297e0c9b7246b2eca6d2a818d.jpg"/><Relationship Id="rId407" Type="http://schemas.openxmlformats.org/officeDocument/2006/relationships/image" Target="../media/2ae34838271380e6cddf4cc668b286b1.jpg"/><Relationship Id="rId408" Type="http://schemas.openxmlformats.org/officeDocument/2006/relationships/image" Target="../media/cc37e0a7593663337b35a5b57bb049a6.jpg"/><Relationship Id="rId409" Type="http://schemas.openxmlformats.org/officeDocument/2006/relationships/image" Target="../media/a9d266457b6a6a8343486a83f569194e.jpg"/><Relationship Id="rId410" Type="http://schemas.openxmlformats.org/officeDocument/2006/relationships/image" Target="../media/b8fd88b512874cd192bc13ab29c40c30.jpg"/><Relationship Id="rId411" Type="http://schemas.openxmlformats.org/officeDocument/2006/relationships/image" Target="../media/5ba342c7491b11cd66b6558658aede7e.jpg"/><Relationship Id="rId412" Type="http://schemas.openxmlformats.org/officeDocument/2006/relationships/image" Target="../media/461d892c0f19694264a0e671ad249667.jpg"/><Relationship Id="rId413" Type="http://schemas.openxmlformats.org/officeDocument/2006/relationships/image" Target="../media/ccadbe6c0dd6e75ce78d052f8e77f1c8.jpg"/><Relationship Id="rId414" Type="http://schemas.openxmlformats.org/officeDocument/2006/relationships/image" Target="../media/64adf56eae2a46700615edb2850646d1.jpg"/><Relationship Id="rId415" Type="http://schemas.openxmlformats.org/officeDocument/2006/relationships/image" Target="../media/77c393fdc570bc73a526ea3e29a33f1b.jpg"/><Relationship Id="rId416" Type="http://schemas.openxmlformats.org/officeDocument/2006/relationships/image" Target="../media/ce56d1eba3ddb694d5baa7e53c9300fd.jpg"/><Relationship Id="rId417" Type="http://schemas.openxmlformats.org/officeDocument/2006/relationships/image" Target="../media/523780995a745e39d5349712e2f95299.jpg"/><Relationship Id="rId418" Type="http://schemas.openxmlformats.org/officeDocument/2006/relationships/image" Target="../media/06c0b30fb2d907fab6fe68f7dfb04f52.jpg"/><Relationship Id="rId419" Type="http://schemas.openxmlformats.org/officeDocument/2006/relationships/image" Target="../media/ad075a5cdd41737b25daca016b417585.jpg"/><Relationship Id="rId420" Type="http://schemas.openxmlformats.org/officeDocument/2006/relationships/image" Target="../media/82ad6b1437e9a6c44f0a456446b58252.jpg"/><Relationship Id="rId421" Type="http://schemas.openxmlformats.org/officeDocument/2006/relationships/image" Target="../media/c645c07827b57cb57098edf3bdf7f5f0.jpg"/><Relationship Id="rId422" Type="http://schemas.openxmlformats.org/officeDocument/2006/relationships/image" Target="../media/100c56592b3817fcf6eb9f1dadb9f983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38100</xdr:rowOff>
    </xdr:from>
    <xdr:ext cx="647700" cy="647700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12" name="photo_11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3" name="photo_11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4" name="photo_120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5" name="photo_121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121</xdr:row>
      <xdr:rowOff>38100</xdr:rowOff>
    </xdr:from>
    <xdr:ext cx="647700" cy="647700"/>
    <xdr:pic>
      <xdr:nvPicPr>
        <xdr:cNvPr id="116" name="photo_122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122</xdr:row>
      <xdr:rowOff>38100</xdr:rowOff>
    </xdr:from>
    <xdr:ext cx="647700" cy="647700"/>
    <xdr:pic>
      <xdr:nvPicPr>
        <xdr:cNvPr id="117" name="photo_123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123</xdr:row>
      <xdr:rowOff>38100</xdr:rowOff>
    </xdr:from>
    <xdr:ext cx="647700" cy="647700"/>
    <xdr:pic>
      <xdr:nvPicPr>
        <xdr:cNvPr id="118" name="photo_12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124</xdr:row>
      <xdr:rowOff>38100</xdr:rowOff>
    </xdr:from>
    <xdr:ext cx="647700" cy="647700"/>
    <xdr:pic>
      <xdr:nvPicPr>
        <xdr:cNvPr id="119" name="photo_12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125</xdr:row>
      <xdr:rowOff>38100</xdr:rowOff>
    </xdr:from>
    <xdr:ext cx="647700" cy="647700"/>
    <xdr:pic>
      <xdr:nvPicPr>
        <xdr:cNvPr id="120" name="photo_126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126</xdr:row>
      <xdr:rowOff>38100</xdr:rowOff>
    </xdr:from>
    <xdr:ext cx="647700" cy="647700"/>
    <xdr:pic>
      <xdr:nvPicPr>
        <xdr:cNvPr id="121" name="photo_127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127</xdr:row>
      <xdr:rowOff>38100</xdr:rowOff>
    </xdr:from>
    <xdr:ext cx="647700" cy="647700"/>
    <xdr:pic>
      <xdr:nvPicPr>
        <xdr:cNvPr id="122" name="photo_128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128</xdr:row>
      <xdr:rowOff>38100</xdr:rowOff>
    </xdr:from>
    <xdr:ext cx="647700" cy="647700"/>
    <xdr:pic>
      <xdr:nvPicPr>
        <xdr:cNvPr id="123" name="photo_129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129</xdr:row>
      <xdr:rowOff>38100</xdr:rowOff>
    </xdr:from>
    <xdr:ext cx="647700" cy="647700"/>
    <xdr:pic>
      <xdr:nvPicPr>
        <xdr:cNvPr id="124" name="photo_130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130</xdr:row>
      <xdr:rowOff>38100</xdr:rowOff>
    </xdr:from>
    <xdr:ext cx="647700" cy="647700"/>
    <xdr:pic>
      <xdr:nvPicPr>
        <xdr:cNvPr id="125" name="photo_131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131</xdr:row>
      <xdr:rowOff>38100</xdr:rowOff>
    </xdr:from>
    <xdr:ext cx="647700" cy="647700"/>
    <xdr:pic>
      <xdr:nvPicPr>
        <xdr:cNvPr id="126" name="photo_132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132</xdr:row>
      <xdr:rowOff>38100</xdr:rowOff>
    </xdr:from>
    <xdr:ext cx="647700" cy="647700"/>
    <xdr:pic>
      <xdr:nvPicPr>
        <xdr:cNvPr id="127" name="photo_133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133</xdr:row>
      <xdr:rowOff>38100</xdr:rowOff>
    </xdr:from>
    <xdr:ext cx="647700" cy="647700"/>
    <xdr:pic>
      <xdr:nvPicPr>
        <xdr:cNvPr id="128" name="photo_134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134</xdr:row>
      <xdr:rowOff>38100</xdr:rowOff>
    </xdr:from>
    <xdr:ext cx="647700" cy="647700"/>
    <xdr:pic>
      <xdr:nvPicPr>
        <xdr:cNvPr id="129" name="photo_135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135</xdr:row>
      <xdr:rowOff>38100</xdr:rowOff>
    </xdr:from>
    <xdr:ext cx="647700" cy="647700"/>
    <xdr:pic>
      <xdr:nvPicPr>
        <xdr:cNvPr id="130" name="photo_136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136</xdr:row>
      <xdr:rowOff>38100</xdr:rowOff>
    </xdr:from>
    <xdr:ext cx="647700" cy="647700"/>
    <xdr:pic>
      <xdr:nvPicPr>
        <xdr:cNvPr id="131" name="photo_137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137</xdr:row>
      <xdr:rowOff>38100</xdr:rowOff>
    </xdr:from>
    <xdr:ext cx="647700" cy="647700"/>
    <xdr:pic>
      <xdr:nvPicPr>
        <xdr:cNvPr id="132" name="photo_138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138</xdr:row>
      <xdr:rowOff>38100</xdr:rowOff>
    </xdr:from>
    <xdr:ext cx="647700" cy="647700"/>
    <xdr:pic>
      <xdr:nvPicPr>
        <xdr:cNvPr id="133" name="photo_139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139</xdr:row>
      <xdr:rowOff>38100</xdr:rowOff>
    </xdr:from>
    <xdr:ext cx="647700" cy="647700"/>
    <xdr:pic>
      <xdr:nvPicPr>
        <xdr:cNvPr id="134" name="photo_140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140</xdr:row>
      <xdr:rowOff>38100</xdr:rowOff>
    </xdr:from>
    <xdr:ext cx="647700" cy="647700"/>
    <xdr:pic>
      <xdr:nvPicPr>
        <xdr:cNvPr id="135" name="photo_141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141</xdr:row>
      <xdr:rowOff>38100</xdr:rowOff>
    </xdr:from>
    <xdr:ext cx="647700" cy="647700"/>
    <xdr:pic>
      <xdr:nvPicPr>
        <xdr:cNvPr id="136" name="photo_142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143</xdr:row>
      <xdr:rowOff>38100</xdr:rowOff>
    </xdr:from>
    <xdr:ext cx="647700" cy="647700"/>
    <xdr:pic>
      <xdr:nvPicPr>
        <xdr:cNvPr id="137" name="photo_144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144</xdr:row>
      <xdr:rowOff>38100</xdr:rowOff>
    </xdr:from>
    <xdr:ext cx="647700" cy="647700"/>
    <xdr:pic>
      <xdr:nvPicPr>
        <xdr:cNvPr id="138" name="photo_145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145</xdr:row>
      <xdr:rowOff>38100</xdr:rowOff>
    </xdr:from>
    <xdr:ext cx="647700" cy="647700"/>
    <xdr:pic>
      <xdr:nvPicPr>
        <xdr:cNvPr id="139" name="photo_146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146</xdr:row>
      <xdr:rowOff>38100</xdr:rowOff>
    </xdr:from>
    <xdr:ext cx="647700" cy="647700"/>
    <xdr:pic>
      <xdr:nvPicPr>
        <xdr:cNvPr id="140" name="photo_147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147</xdr:row>
      <xdr:rowOff>38100</xdr:rowOff>
    </xdr:from>
    <xdr:ext cx="647700" cy="647700"/>
    <xdr:pic>
      <xdr:nvPicPr>
        <xdr:cNvPr id="141" name="photo_148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148</xdr:row>
      <xdr:rowOff>38100</xdr:rowOff>
    </xdr:from>
    <xdr:ext cx="647700" cy="647700"/>
    <xdr:pic>
      <xdr:nvPicPr>
        <xdr:cNvPr id="142" name="photo_149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149</xdr:row>
      <xdr:rowOff>38100</xdr:rowOff>
    </xdr:from>
    <xdr:ext cx="647700" cy="647700"/>
    <xdr:pic>
      <xdr:nvPicPr>
        <xdr:cNvPr id="143" name="photo_150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150</xdr:row>
      <xdr:rowOff>38100</xdr:rowOff>
    </xdr:from>
    <xdr:ext cx="647700" cy="647700"/>
    <xdr:pic>
      <xdr:nvPicPr>
        <xdr:cNvPr id="144" name="photo_151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151</xdr:row>
      <xdr:rowOff>38100</xdr:rowOff>
    </xdr:from>
    <xdr:ext cx="647700" cy="647700"/>
    <xdr:pic>
      <xdr:nvPicPr>
        <xdr:cNvPr id="145" name="photo_152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152</xdr:row>
      <xdr:rowOff>38100</xdr:rowOff>
    </xdr:from>
    <xdr:ext cx="647700" cy="647700"/>
    <xdr:pic>
      <xdr:nvPicPr>
        <xdr:cNvPr id="146" name="photo_153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153</xdr:row>
      <xdr:rowOff>38100</xdr:rowOff>
    </xdr:from>
    <xdr:ext cx="647700" cy="647700"/>
    <xdr:pic>
      <xdr:nvPicPr>
        <xdr:cNvPr id="147" name="photo_154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154</xdr:row>
      <xdr:rowOff>38100</xdr:rowOff>
    </xdr:from>
    <xdr:ext cx="647700" cy="647700"/>
    <xdr:pic>
      <xdr:nvPicPr>
        <xdr:cNvPr id="148" name="photo_155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155</xdr:row>
      <xdr:rowOff>38100</xdr:rowOff>
    </xdr:from>
    <xdr:ext cx="647700" cy="647700"/>
    <xdr:pic>
      <xdr:nvPicPr>
        <xdr:cNvPr id="149" name="photo_156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156</xdr:row>
      <xdr:rowOff>38100</xdr:rowOff>
    </xdr:from>
    <xdr:ext cx="647700" cy="647700"/>
    <xdr:pic>
      <xdr:nvPicPr>
        <xdr:cNvPr id="150" name="photo_157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157</xdr:row>
      <xdr:rowOff>38100</xdr:rowOff>
    </xdr:from>
    <xdr:ext cx="647700" cy="647700"/>
    <xdr:pic>
      <xdr:nvPicPr>
        <xdr:cNvPr id="151" name="photo_158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158</xdr:row>
      <xdr:rowOff>38100</xdr:rowOff>
    </xdr:from>
    <xdr:ext cx="647700" cy="647700"/>
    <xdr:pic>
      <xdr:nvPicPr>
        <xdr:cNvPr id="152" name="photo_159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159</xdr:row>
      <xdr:rowOff>38100</xdr:rowOff>
    </xdr:from>
    <xdr:ext cx="647700" cy="647700"/>
    <xdr:pic>
      <xdr:nvPicPr>
        <xdr:cNvPr id="153" name="photo_160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160</xdr:row>
      <xdr:rowOff>38100</xdr:rowOff>
    </xdr:from>
    <xdr:ext cx="647700" cy="647700"/>
    <xdr:pic>
      <xdr:nvPicPr>
        <xdr:cNvPr id="154" name="photo_161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161</xdr:row>
      <xdr:rowOff>38100</xdr:rowOff>
    </xdr:from>
    <xdr:ext cx="647700" cy="647700"/>
    <xdr:pic>
      <xdr:nvPicPr>
        <xdr:cNvPr id="155" name="photo_162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162</xdr:row>
      <xdr:rowOff>38100</xdr:rowOff>
    </xdr:from>
    <xdr:ext cx="647700" cy="647700"/>
    <xdr:pic>
      <xdr:nvPicPr>
        <xdr:cNvPr id="156" name="photo_163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163</xdr:row>
      <xdr:rowOff>38100</xdr:rowOff>
    </xdr:from>
    <xdr:ext cx="647700" cy="647700"/>
    <xdr:pic>
      <xdr:nvPicPr>
        <xdr:cNvPr id="157" name="photo_164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164</xdr:row>
      <xdr:rowOff>38100</xdr:rowOff>
    </xdr:from>
    <xdr:ext cx="647700" cy="647700"/>
    <xdr:pic>
      <xdr:nvPicPr>
        <xdr:cNvPr id="158" name="photo_165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165</xdr:row>
      <xdr:rowOff>38100</xdr:rowOff>
    </xdr:from>
    <xdr:ext cx="647700" cy="647700"/>
    <xdr:pic>
      <xdr:nvPicPr>
        <xdr:cNvPr id="159" name="photo_166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166</xdr:row>
      <xdr:rowOff>38100</xdr:rowOff>
    </xdr:from>
    <xdr:ext cx="647700" cy="647700"/>
    <xdr:pic>
      <xdr:nvPicPr>
        <xdr:cNvPr id="160" name="photo_167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167</xdr:row>
      <xdr:rowOff>38100</xdr:rowOff>
    </xdr:from>
    <xdr:ext cx="647700" cy="647700"/>
    <xdr:pic>
      <xdr:nvPicPr>
        <xdr:cNvPr id="161" name="photo_168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168</xdr:row>
      <xdr:rowOff>38100</xdr:rowOff>
    </xdr:from>
    <xdr:ext cx="647700" cy="647700"/>
    <xdr:pic>
      <xdr:nvPicPr>
        <xdr:cNvPr id="162" name="photo_169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169</xdr:row>
      <xdr:rowOff>38100</xdr:rowOff>
    </xdr:from>
    <xdr:ext cx="647700" cy="647700"/>
    <xdr:pic>
      <xdr:nvPicPr>
        <xdr:cNvPr id="163" name="photo_170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170</xdr:row>
      <xdr:rowOff>38100</xdr:rowOff>
    </xdr:from>
    <xdr:ext cx="647700" cy="647700"/>
    <xdr:pic>
      <xdr:nvPicPr>
        <xdr:cNvPr id="164" name="photo_171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171</xdr:row>
      <xdr:rowOff>38100</xdr:rowOff>
    </xdr:from>
    <xdr:ext cx="647700" cy="647700"/>
    <xdr:pic>
      <xdr:nvPicPr>
        <xdr:cNvPr id="165" name="photo_172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172</xdr:row>
      <xdr:rowOff>38100</xdr:rowOff>
    </xdr:from>
    <xdr:ext cx="647700" cy="647700"/>
    <xdr:pic>
      <xdr:nvPicPr>
        <xdr:cNvPr id="166" name="photo_173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173</xdr:row>
      <xdr:rowOff>38100</xdr:rowOff>
    </xdr:from>
    <xdr:ext cx="647700" cy="647700"/>
    <xdr:pic>
      <xdr:nvPicPr>
        <xdr:cNvPr id="167" name="photo_174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174</xdr:row>
      <xdr:rowOff>38100</xdr:rowOff>
    </xdr:from>
    <xdr:ext cx="647700" cy="647700"/>
    <xdr:pic>
      <xdr:nvPicPr>
        <xdr:cNvPr id="168" name="photo_175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175</xdr:row>
      <xdr:rowOff>38100</xdr:rowOff>
    </xdr:from>
    <xdr:ext cx="647700" cy="647700"/>
    <xdr:pic>
      <xdr:nvPicPr>
        <xdr:cNvPr id="169" name="photo_176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176</xdr:row>
      <xdr:rowOff>38100</xdr:rowOff>
    </xdr:from>
    <xdr:ext cx="647700" cy="647700"/>
    <xdr:pic>
      <xdr:nvPicPr>
        <xdr:cNvPr id="170" name="photo_177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177</xdr:row>
      <xdr:rowOff>38100</xdr:rowOff>
    </xdr:from>
    <xdr:ext cx="647700" cy="647700"/>
    <xdr:pic>
      <xdr:nvPicPr>
        <xdr:cNvPr id="171" name="photo_178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178</xdr:row>
      <xdr:rowOff>38100</xdr:rowOff>
    </xdr:from>
    <xdr:ext cx="647700" cy="647700"/>
    <xdr:pic>
      <xdr:nvPicPr>
        <xdr:cNvPr id="172" name="photo_179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179</xdr:row>
      <xdr:rowOff>180975</xdr:rowOff>
    </xdr:from>
    <xdr:ext cx="647700" cy="361950"/>
    <xdr:pic>
      <xdr:nvPicPr>
        <xdr:cNvPr id="173" name="photo_180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180</xdr:row>
      <xdr:rowOff>38100</xdr:rowOff>
    </xdr:from>
    <xdr:ext cx="647700" cy="647700"/>
    <xdr:pic>
      <xdr:nvPicPr>
        <xdr:cNvPr id="174" name="photo_181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181</xdr:row>
      <xdr:rowOff>38100</xdr:rowOff>
    </xdr:from>
    <xdr:ext cx="647700" cy="647700"/>
    <xdr:pic>
      <xdr:nvPicPr>
        <xdr:cNvPr id="175" name="photo_182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182</xdr:row>
      <xdr:rowOff>38100</xdr:rowOff>
    </xdr:from>
    <xdr:ext cx="647700" cy="647700"/>
    <xdr:pic>
      <xdr:nvPicPr>
        <xdr:cNvPr id="176" name="photo_183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183</xdr:row>
      <xdr:rowOff>180975</xdr:rowOff>
    </xdr:from>
    <xdr:ext cx="647700" cy="361950"/>
    <xdr:pic>
      <xdr:nvPicPr>
        <xdr:cNvPr id="177" name="photo_184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184</xdr:row>
      <xdr:rowOff>38100</xdr:rowOff>
    </xdr:from>
    <xdr:ext cx="647700" cy="647700"/>
    <xdr:pic>
      <xdr:nvPicPr>
        <xdr:cNvPr id="178" name="photo_185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185</xdr:row>
      <xdr:rowOff>38100</xdr:rowOff>
    </xdr:from>
    <xdr:ext cx="647700" cy="647700"/>
    <xdr:pic>
      <xdr:nvPicPr>
        <xdr:cNvPr id="179" name="photo_186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186</xdr:row>
      <xdr:rowOff>38100</xdr:rowOff>
    </xdr:from>
    <xdr:ext cx="647700" cy="647700"/>
    <xdr:pic>
      <xdr:nvPicPr>
        <xdr:cNvPr id="180" name="photo_187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187</xdr:row>
      <xdr:rowOff>38100</xdr:rowOff>
    </xdr:from>
    <xdr:ext cx="647700" cy="647700"/>
    <xdr:pic>
      <xdr:nvPicPr>
        <xdr:cNvPr id="181" name="photo_188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188</xdr:row>
      <xdr:rowOff>38100</xdr:rowOff>
    </xdr:from>
    <xdr:ext cx="647700" cy="647700"/>
    <xdr:pic>
      <xdr:nvPicPr>
        <xdr:cNvPr id="182" name="photo_189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189</xdr:row>
      <xdr:rowOff>38100</xdr:rowOff>
    </xdr:from>
    <xdr:ext cx="647700" cy="647700"/>
    <xdr:pic>
      <xdr:nvPicPr>
        <xdr:cNvPr id="183" name="photo_190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190</xdr:row>
      <xdr:rowOff>38100</xdr:rowOff>
    </xdr:from>
    <xdr:ext cx="647700" cy="647700"/>
    <xdr:pic>
      <xdr:nvPicPr>
        <xdr:cNvPr id="184" name="photo_191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191</xdr:row>
      <xdr:rowOff>38100</xdr:rowOff>
    </xdr:from>
    <xdr:ext cx="647700" cy="647700"/>
    <xdr:pic>
      <xdr:nvPicPr>
        <xdr:cNvPr id="185" name="photo_192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192</xdr:row>
      <xdr:rowOff>38100</xdr:rowOff>
    </xdr:from>
    <xdr:ext cx="647700" cy="647700"/>
    <xdr:pic>
      <xdr:nvPicPr>
        <xdr:cNvPr id="186" name="photo_193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193</xdr:row>
      <xdr:rowOff>38100</xdr:rowOff>
    </xdr:from>
    <xdr:ext cx="647700" cy="647700"/>
    <xdr:pic>
      <xdr:nvPicPr>
        <xdr:cNvPr id="187" name="photo_194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194</xdr:row>
      <xdr:rowOff>38100</xdr:rowOff>
    </xdr:from>
    <xdr:ext cx="647700" cy="647700"/>
    <xdr:pic>
      <xdr:nvPicPr>
        <xdr:cNvPr id="188" name="photo_195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195</xdr:row>
      <xdr:rowOff>38100</xdr:rowOff>
    </xdr:from>
    <xdr:ext cx="647700" cy="647700"/>
    <xdr:pic>
      <xdr:nvPicPr>
        <xdr:cNvPr id="189" name="photo_196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196</xdr:row>
      <xdr:rowOff>38100</xdr:rowOff>
    </xdr:from>
    <xdr:ext cx="647700" cy="647700"/>
    <xdr:pic>
      <xdr:nvPicPr>
        <xdr:cNvPr id="190" name="photo_197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197</xdr:row>
      <xdr:rowOff>38100</xdr:rowOff>
    </xdr:from>
    <xdr:ext cx="647700" cy="647700"/>
    <xdr:pic>
      <xdr:nvPicPr>
        <xdr:cNvPr id="191" name="photo_198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198</xdr:row>
      <xdr:rowOff>38100</xdr:rowOff>
    </xdr:from>
    <xdr:ext cx="647700" cy="647700"/>
    <xdr:pic>
      <xdr:nvPicPr>
        <xdr:cNvPr id="192" name="photo_199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199</xdr:row>
      <xdr:rowOff>38100</xdr:rowOff>
    </xdr:from>
    <xdr:ext cx="647700" cy="647700"/>
    <xdr:pic>
      <xdr:nvPicPr>
        <xdr:cNvPr id="193" name="photo_200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200</xdr:row>
      <xdr:rowOff>38100</xdr:rowOff>
    </xdr:from>
    <xdr:ext cx="485775" cy="647700"/>
    <xdr:pic>
      <xdr:nvPicPr>
        <xdr:cNvPr id="194" name="photo_201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201</xdr:row>
      <xdr:rowOff>38100</xdr:rowOff>
    </xdr:from>
    <xdr:ext cx="647700" cy="647700"/>
    <xdr:pic>
      <xdr:nvPicPr>
        <xdr:cNvPr id="195" name="photo_202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202</xdr:row>
      <xdr:rowOff>38100</xdr:rowOff>
    </xdr:from>
    <xdr:ext cx="647700" cy="647700"/>
    <xdr:pic>
      <xdr:nvPicPr>
        <xdr:cNvPr id="196" name="photo_203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203</xdr:row>
      <xdr:rowOff>38100</xdr:rowOff>
    </xdr:from>
    <xdr:ext cx="647700" cy="647700"/>
    <xdr:pic>
      <xdr:nvPicPr>
        <xdr:cNvPr id="197" name="photo_204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204</xdr:row>
      <xdr:rowOff>38100</xdr:rowOff>
    </xdr:from>
    <xdr:ext cx="647700" cy="647700"/>
    <xdr:pic>
      <xdr:nvPicPr>
        <xdr:cNvPr id="198" name="photo_205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205</xdr:row>
      <xdr:rowOff>38100</xdr:rowOff>
    </xdr:from>
    <xdr:ext cx="647700" cy="647700"/>
    <xdr:pic>
      <xdr:nvPicPr>
        <xdr:cNvPr id="199" name="photo_206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206</xdr:row>
      <xdr:rowOff>38100</xdr:rowOff>
    </xdr:from>
    <xdr:ext cx="647700" cy="647700"/>
    <xdr:pic>
      <xdr:nvPicPr>
        <xdr:cNvPr id="200" name="photo_207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207</xdr:row>
      <xdr:rowOff>38100</xdr:rowOff>
    </xdr:from>
    <xdr:ext cx="647700" cy="647700"/>
    <xdr:pic>
      <xdr:nvPicPr>
        <xdr:cNvPr id="201" name="photo_208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208</xdr:row>
      <xdr:rowOff>38100</xdr:rowOff>
    </xdr:from>
    <xdr:ext cx="647700" cy="647700"/>
    <xdr:pic>
      <xdr:nvPicPr>
        <xdr:cNvPr id="202" name="photo_209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209</xdr:row>
      <xdr:rowOff>38100</xdr:rowOff>
    </xdr:from>
    <xdr:ext cx="647700" cy="647700"/>
    <xdr:pic>
      <xdr:nvPicPr>
        <xdr:cNvPr id="203" name="photo_210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210</xdr:row>
      <xdr:rowOff>38100</xdr:rowOff>
    </xdr:from>
    <xdr:ext cx="647700" cy="647700"/>
    <xdr:pic>
      <xdr:nvPicPr>
        <xdr:cNvPr id="204" name="photo_211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211</xdr:row>
      <xdr:rowOff>38100</xdr:rowOff>
    </xdr:from>
    <xdr:ext cx="647700" cy="647700"/>
    <xdr:pic>
      <xdr:nvPicPr>
        <xdr:cNvPr id="205" name="photo_212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212</xdr:row>
      <xdr:rowOff>38100</xdr:rowOff>
    </xdr:from>
    <xdr:ext cx="647700" cy="647700"/>
    <xdr:pic>
      <xdr:nvPicPr>
        <xdr:cNvPr id="206" name="photo_213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213</xdr:row>
      <xdr:rowOff>38100</xdr:rowOff>
    </xdr:from>
    <xdr:ext cx="647700" cy="647700"/>
    <xdr:pic>
      <xdr:nvPicPr>
        <xdr:cNvPr id="207" name="photo_214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214</xdr:row>
      <xdr:rowOff>38100</xdr:rowOff>
    </xdr:from>
    <xdr:ext cx="647700" cy="647700"/>
    <xdr:pic>
      <xdr:nvPicPr>
        <xdr:cNvPr id="208" name="photo_215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215</xdr:row>
      <xdr:rowOff>38100</xdr:rowOff>
    </xdr:from>
    <xdr:ext cx="647700" cy="647700"/>
    <xdr:pic>
      <xdr:nvPicPr>
        <xdr:cNvPr id="209" name="photo_216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216</xdr:row>
      <xdr:rowOff>38100</xdr:rowOff>
    </xdr:from>
    <xdr:ext cx="647700" cy="647700"/>
    <xdr:pic>
      <xdr:nvPicPr>
        <xdr:cNvPr id="210" name="photo_217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217</xdr:row>
      <xdr:rowOff>38100</xdr:rowOff>
    </xdr:from>
    <xdr:ext cx="647700" cy="647700"/>
    <xdr:pic>
      <xdr:nvPicPr>
        <xdr:cNvPr id="211" name="photo_218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218</xdr:row>
      <xdr:rowOff>38100</xdr:rowOff>
    </xdr:from>
    <xdr:ext cx="647700" cy="647700"/>
    <xdr:pic>
      <xdr:nvPicPr>
        <xdr:cNvPr id="212" name="photo_219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219</xdr:row>
      <xdr:rowOff>38100</xdr:rowOff>
    </xdr:from>
    <xdr:ext cx="647700" cy="647700"/>
    <xdr:pic>
      <xdr:nvPicPr>
        <xdr:cNvPr id="213" name="photo_220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220</xdr:row>
      <xdr:rowOff>38100</xdr:rowOff>
    </xdr:from>
    <xdr:ext cx="647700" cy="647700"/>
    <xdr:pic>
      <xdr:nvPicPr>
        <xdr:cNvPr id="214" name="photo_221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221</xdr:row>
      <xdr:rowOff>38100</xdr:rowOff>
    </xdr:from>
    <xdr:ext cx="647700" cy="647700"/>
    <xdr:pic>
      <xdr:nvPicPr>
        <xdr:cNvPr id="215" name="photo_222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222</xdr:row>
      <xdr:rowOff>38100</xdr:rowOff>
    </xdr:from>
    <xdr:ext cx="647700" cy="647700"/>
    <xdr:pic>
      <xdr:nvPicPr>
        <xdr:cNvPr id="216" name="photo_223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223</xdr:row>
      <xdr:rowOff>38100</xdr:rowOff>
    </xdr:from>
    <xdr:ext cx="647700" cy="647700"/>
    <xdr:pic>
      <xdr:nvPicPr>
        <xdr:cNvPr id="217" name="photo_224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224</xdr:row>
      <xdr:rowOff>38100</xdr:rowOff>
    </xdr:from>
    <xdr:ext cx="647700" cy="647700"/>
    <xdr:pic>
      <xdr:nvPicPr>
        <xdr:cNvPr id="218" name="photo_225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225</xdr:row>
      <xdr:rowOff>38100</xdr:rowOff>
    </xdr:from>
    <xdr:ext cx="647700" cy="647700"/>
    <xdr:pic>
      <xdr:nvPicPr>
        <xdr:cNvPr id="219" name="photo_226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226</xdr:row>
      <xdr:rowOff>38100</xdr:rowOff>
    </xdr:from>
    <xdr:ext cx="647700" cy="647700"/>
    <xdr:pic>
      <xdr:nvPicPr>
        <xdr:cNvPr id="220" name="photo_227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227</xdr:row>
      <xdr:rowOff>38100</xdr:rowOff>
    </xdr:from>
    <xdr:ext cx="647700" cy="647700"/>
    <xdr:pic>
      <xdr:nvPicPr>
        <xdr:cNvPr id="221" name="photo_228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228</xdr:row>
      <xdr:rowOff>38100</xdr:rowOff>
    </xdr:from>
    <xdr:ext cx="647700" cy="647700"/>
    <xdr:pic>
      <xdr:nvPicPr>
        <xdr:cNvPr id="222" name="photo_229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229</xdr:row>
      <xdr:rowOff>38100</xdr:rowOff>
    </xdr:from>
    <xdr:ext cx="647700" cy="647700"/>
    <xdr:pic>
      <xdr:nvPicPr>
        <xdr:cNvPr id="223" name="photo_230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230</xdr:row>
      <xdr:rowOff>38100</xdr:rowOff>
    </xdr:from>
    <xdr:ext cx="647700" cy="647700"/>
    <xdr:pic>
      <xdr:nvPicPr>
        <xdr:cNvPr id="224" name="photo_231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231</xdr:row>
      <xdr:rowOff>38100</xdr:rowOff>
    </xdr:from>
    <xdr:ext cx="647700" cy="647700"/>
    <xdr:pic>
      <xdr:nvPicPr>
        <xdr:cNvPr id="225" name="photo_232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232</xdr:row>
      <xdr:rowOff>38100</xdr:rowOff>
    </xdr:from>
    <xdr:ext cx="647700" cy="647700"/>
    <xdr:pic>
      <xdr:nvPicPr>
        <xdr:cNvPr id="226" name="photo_233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233</xdr:row>
      <xdr:rowOff>38100</xdr:rowOff>
    </xdr:from>
    <xdr:ext cx="647700" cy="647700"/>
    <xdr:pic>
      <xdr:nvPicPr>
        <xdr:cNvPr id="227" name="photo_234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234</xdr:row>
      <xdr:rowOff>38100</xdr:rowOff>
    </xdr:from>
    <xdr:ext cx="647700" cy="647700"/>
    <xdr:pic>
      <xdr:nvPicPr>
        <xdr:cNvPr id="228" name="photo_235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235</xdr:row>
      <xdr:rowOff>38100</xdr:rowOff>
    </xdr:from>
    <xdr:ext cx="647700" cy="647700"/>
    <xdr:pic>
      <xdr:nvPicPr>
        <xdr:cNvPr id="229" name="photo_236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236</xdr:row>
      <xdr:rowOff>38100</xdr:rowOff>
    </xdr:from>
    <xdr:ext cx="647700" cy="647700"/>
    <xdr:pic>
      <xdr:nvPicPr>
        <xdr:cNvPr id="230" name="photo_237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237</xdr:row>
      <xdr:rowOff>38100</xdr:rowOff>
    </xdr:from>
    <xdr:ext cx="647700" cy="647700"/>
    <xdr:pic>
      <xdr:nvPicPr>
        <xdr:cNvPr id="231" name="photo_238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238</xdr:row>
      <xdr:rowOff>38100</xdr:rowOff>
    </xdr:from>
    <xdr:ext cx="647700" cy="647700"/>
    <xdr:pic>
      <xdr:nvPicPr>
        <xdr:cNvPr id="232" name="photo_239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239</xdr:row>
      <xdr:rowOff>38100</xdr:rowOff>
    </xdr:from>
    <xdr:ext cx="647700" cy="647700"/>
    <xdr:pic>
      <xdr:nvPicPr>
        <xdr:cNvPr id="233" name="photo_240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240</xdr:row>
      <xdr:rowOff>38100</xdr:rowOff>
    </xdr:from>
    <xdr:ext cx="647700" cy="647700"/>
    <xdr:pic>
      <xdr:nvPicPr>
        <xdr:cNvPr id="234" name="photo_241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241</xdr:row>
      <xdr:rowOff>38100</xdr:rowOff>
    </xdr:from>
    <xdr:ext cx="647700" cy="647700"/>
    <xdr:pic>
      <xdr:nvPicPr>
        <xdr:cNvPr id="235" name="photo_242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242</xdr:row>
      <xdr:rowOff>38100</xdr:rowOff>
    </xdr:from>
    <xdr:ext cx="647700" cy="647700"/>
    <xdr:pic>
      <xdr:nvPicPr>
        <xdr:cNvPr id="236" name="photo_243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243</xdr:row>
      <xdr:rowOff>38100</xdr:rowOff>
    </xdr:from>
    <xdr:ext cx="647700" cy="647700"/>
    <xdr:pic>
      <xdr:nvPicPr>
        <xdr:cNvPr id="237" name="photo_244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244</xdr:row>
      <xdr:rowOff>38100</xdr:rowOff>
    </xdr:from>
    <xdr:ext cx="647700" cy="647700"/>
    <xdr:pic>
      <xdr:nvPicPr>
        <xdr:cNvPr id="238" name="photo_245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245</xdr:row>
      <xdr:rowOff>38100</xdr:rowOff>
    </xdr:from>
    <xdr:ext cx="647700" cy="647700"/>
    <xdr:pic>
      <xdr:nvPicPr>
        <xdr:cNvPr id="239" name="photo_246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246</xdr:row>
      <xdr:rowOff>38100</xdr:rowOff>
    </xdr:from>
    <xdr:ext cx="647700" cy="647700"/>
    <xdr:pic>
      <xdr:nvPicPr>
        <xdr:cNvPr id="240" name="photo_247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247</xdr:row>
      <xdr:rowOff>38100</xdr:rowOff>
    </xdr:from>
    <xdr:ext cx="647700" cy="647700"/>
    <xdr:pic>
      <xdr:nvPicPr>
        <xdr:cNvPr id="241" name="photo_248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248</xdr:row>
      <xdr:rowOff>38100</xdr:rowOff>
    </xdr:from>
    <xdr:ext cx="647700" cy="647700"/>
    <xdr:pic>
      <xdr:nvPicPr>
        <xdr:cNvPr id="242" name="photo_249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249</xdr:row>
      <xdr:rowOff>38100</xdr:rowOff>
    </xdr:from>
    <xdr:ext cx="647700" cy="647700"/>
    <xdr:pic>
      <xdr:nvPicPr>
        <xdr:cNvPr id="243" name="photo_250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250</xdr:row>
      <xdr:rowOff>38100</xdr:rowOff>
    </xdr:from>
    <xdr:ext cx="647700" cy="647700"/>
    <xdr:pic>
      <xdr:nvPicPr>
        <xdr:cNvPr id="244" name="photo_251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251</xdr:row>
      <xdr:rowOff>38100</xdr:rowOff>
    </xdr:from>
    <xdr:ext cx="647700" cy="647700"/>
    <xdr:pic>
      <xdr:nvPicPr>
        <xdr:cNvPr id="245" name="photo_252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252</xdr:row>
      <xdr:rowOff>38100</xdr:rowOff>
    </xdr:from>
    <xdr:ext cx="647700" cy="647700"/>
    <xdr:pic>
      <xdr:nvPicPr>
        <xdr:cNvPr id="246" name="photo_253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253</xdr:row>
      <xdr:rowOff>38100</xdr:rowOff>
    </xdr:from>
    <xdr:ext cx="647700" cy="647700"/>
    <xdr:pic>
      <xdr:nvPicPr>
        <xdr:cNvPr id="247" name="photo_254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254</xdr:row>
      <xdr:rowOff>38100</xdr:rowOff>
    </xdr:from>
    <xdr:ext cx="647700" cy="647700"/>
    <xdr:pic>
      <xdr:nvPicPr>
        <xdr:cNvPr id="248" name="photo_255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255</xdr:row>
      <xdr:rowOff>38100</xdr:rowOff>
    </xdr:from>
    <xdr:ext cx="647700" cy="647700"/>
    <xdr:pic>
      <xdr:nvPicPr>
        <xdr:cNvPr id="249" name="photo_256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256</xdr:row>
      <xdr:rowOff>38100</xdr:rowOff>
    </xdr:from>
    <xdr:ext cx="647700" cy="647700"/>
    <xdr:pic>
      <xdr:nvPicPr>
        <xdr:cNvPr id="250" name="photo_257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257</xdr:row>
      <xdr:rowOff>38100</xdr:rowOff>
    </xdr:from>
    <xdr:ext cx="647700" cy="647700"/>
    <xdr:pic>
      <xdr:nvPicPr>
        <xdr:cNvPr id="251" name="photo_258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258</xdr:row>
      <xdr:rowOff>38100</xdr:rowOff>
    </xdr:from>
    <xdr:ext cx="647700" cy="647700"/>
    <xdr:pic>
      <xdr:nvPicPr>
        <xdr:cNvPr id="252" name="photo_259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259</xdr:row>
      <xdr:rowOff>38100</xdr:rowOff>
    </xdr:from>
    <xdr:ext cx="647700" cy="647700"/>
    <xdr:pic>
      <xdr:nvPicPr>
        <xdr:cNvPr id="253" name="photo_260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260</xdr:row>
      <xdr:rowOff>38100</xdr:rowOff>
    </xdr:from>
    <xdr:ext cx="647700" cy="647700"/>
    <xdr:pic>
      <xdr:nvPicPr>
        <xdr:cNvPr id="254" name="photo_261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261</xdr:row>
      <xdr:rowOff>38100</xdr:rowOff>
    </xdr:from>
    <xdr:ext cx="647700" cy="647700"/>
    <xdr:pic>
      <xdr:nvPicPr>
        <xdr:cNvPr id="255" name="photo_262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262</xdr:row>
      <xdr:rowOff>38100</xdr:rowOff>
    </xdr:from>
    <xdr:ext cx="647700" cy="647700"/>
    <xdr:pic>
      <xdr:nvPicPr>
        <xdr:cNvPr id="256" name="photo_263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263</xdr:row>
      <xdr:rowOff>38100</xdr:rowOff>
    </xdr:from>
    <xdr:ext cx="647700" cy="647700"/>
    <xdr:pic>
      <xdr:nvPicPr>
        <xdr:cNvPr id="257" name="photo_264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264</xdr:row>
      <xdr:rowOff>38100</xdr:rowOff>
    </xdr:from>
    <xdr:ext cx="647700" cy="647700"/>
    <xdr:pic>
      <xdr:nvPicPr>
        <xdr:cNvPr id="258" name="photo_265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265</xdr:row>
      <xdr:rowOff>38100</xdr:rowOff>
    </xdr:from>
    <xdr:ext cx="647700" cy="647700"/>
    <xdr:pic>
      <xdr:nvPicPr>
        <xdr:cNvPr id="259" name="photo_266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266</xdr:row>
      <xdr:rowOff>38100</xdr:rowOff>
    </xdr:from>
    <xdr:ext cx="647700" cy="647700"/>
    <xdr:pic>
      <xdr:nvPicPr>
        <xdr:cNvPr id="260" name="photo_267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267</xdr:row>
      <xdr:rowOff>38100</xdr:rowOff>
    </xdr:from>
    <xdr:ext cx="647700" cy="647700"/>
    <xdr:pic>
      <xdr:nvPicPr>
        <xdr:cNvPr id="261" name="photo_268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268</xdr:row>
      <xdr:rowOff>38100</xdr:rowOff>
    </xdr:from>
    <xdr:ext cx="647700" cy="647700"/>
    <xdr:pic>
      <xdr:nvPicPr>
        <xdr:cNvPr id="262" name="photo_269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269</xdr:row>
      <xdr:rowOff>38100</xdr:rowOff>
    </xdr:from>
    <xdr:ext cx="647700" cy="647700"/>
    <xdr:pic>
      <xdr:nvPicPr>
        <xdr:cNvPr id="263" name="photo_270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270</xdr:row>
      <xdr:rowOff>38100</xdr:rowOff>
    </xdr:from>
    <xdr:ext cx="647700" cy="647700"/>
    <xdr:pic>
      <xdr:nvPicPr>
        <xdr:cNvPr id="264" name="photo_271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272</xdr:row>
      <xdr:rowOff>38100</xdr:rowOff>
    </xdr:from>
    <xdr:ext cx="647700" cy="647700"/>
    <xdr:pic>
      <xdr:nvPicPr>
        <xdr:cNvPr id="265" name="photo_273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273</xdr:row>
      <xdr:rowOff>38100</xdr:rowOff>
    </xdr:from>
    <xdr:ext cx="647700" cy="647700"/>
    <xdr:pic>
      <xdr:nvPicPr>
        <xdr:cNvPr id="266" name="photo_274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274</xdr:row>
      <xdr:rowOff>38100</xdr:rowOff>
    </xdr:from>
    <xdr:ext cx="647700" cy="647700"/>
    <xdr:pic>
      <xdr:nvPicPr>
        <xdr:cNvPr id="267" name="photo_275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275</xdr:row>
      <xdr:rowOff>38100</xdr:rowOff>
    </xdr:from>
    <xdr:ext cx="647700" cy="647700"/>
    <xdr:pic>
      <xdr:nvPicPr>
        <xdr:cNvPr id="268" name="photo_276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276</xdr:row>
      <xdr:rowOff>38100</xdr:rowOff>
    </xdr:from>
    <xdr:ext cx="647700" cy="647700"/>
    <xdr:pic>
      <xdr:nvPicPr>
        <xdr:cNvPr id="269" name="photo_277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277</xdr:row>
      <xdr:rowOff>38100</xdr:rowOff>
    </xdr:from>
    <xdr:ext cx="647700" cy="647700"/>
    <xdr:pic>
      <xdr:nvPicPr>
        <xdr:cNvPr id="270" name="photo_278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278</xdr:row>
      <xdr:rowOff>38100</xdr:rowOff>
    </xdr:from>
    <xdr:ext cx="647700" cy="647700"/>
    <xdr:pic>
      <xdr:nvPicPr>
        <xdr:cNvPr id="271" name="photo_279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279</xdr:row>
      <xdr:rowOff>38100</xdr:rowOff>
    </xdr:from>
    <xdr:ext cx="647700" cy="647700"/>
    <xdr:pic>
      <xdr:nvPicPr>
        <xdr:cNvPr id="272" name="photo_280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280</xdr:row>
      <xdr:rowOff>38100</xdr:rowOff>
    </xdr:from>
    <xdr:ext cx="647700" cy="647700"/>
    <xdr:pic>
      <xdr:nvPicPr>
        <xdr:cNvPr id="273" name="photo_281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281</xdr:row>
      <xdr:rowOff>38100</xdr:rowOff>
    </xdr:from>
    <xdr:ext cx="647700" cy="647700"/>
    <xdr:pic>
      <xdr:nvPicPr>
        <xdr:cNvPr id="274" name="photo_282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282</xdr:row>
      <xdr:rowOff>38100</xdr:rowOff>
    </xdr:from>
    <xdr:ext cx="647700" cy="647700"/>
    <xdr:pic>
      <xdr:nvPicPr>
        <xdr:cNvPr id="275" name="photo_283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283</xdr:row>
      <xdr:rowOff>38100</xdr:rowOff>
    </xdr:from>
    <xdr:ext cx="647700" cy="647700"/>
    <xdr:pic>
      <xdr:nvPicPr>
        <xdr:cNvPr id="276" name="photo_284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284</xdr:row>
      <xdr:rowOff>38100</xdr:rowOff>
    </xdr:from>
    <xdr:ext cx="647700" cy="647700"/>
    <xdr:pic>
      <xdr:nvPicPr>
        <xdr:cNvPr id="277" name="photo_285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285</xdr:row>
      <xdr:rowOff>38100</xdr:rowOff>
    </xdr:from>
    <xdr:ext cx="647700" cy="647700"/>
    <xdr:pic>
      <xdr:nvPicPr>
        <xdr:cNvPr id="278" name="photo_286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286</xdr:row>
      <xdr:rowOff>38100</xdr:rowOff>
    </xdr:from>
    <xdr:ext cx="647700" cy="647700"/>
    <xdr:pic>
      <xdr:nvPicPr>
        <xdr:cNvPr id="279" name="photo_287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287</xdr:row>
      <xdr:rowOff>38100</xdr:rowOff>
    </xdr:from>
    <xdr:ext cx="647700" cy="647700"/>
    <xdr:pic>
      <xdr:nvPicPr>
        <xdr:cNvPr id="280" name="photo_288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288</xdr:row>
      <xdr:rowOff>38100</xdr:rowOff>
    </xdr:from>
    <xdr:ext cx="647700" cy="647700"/>
    <xdr:pic>
      <xdr:nvPicPr>
        <xdr:cNvPr id="281" name="photo_289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289</xdr:row>
      <xdr:rowOff>38100</xdr:rowOff>
    </xdr:from>
    <xdr:ext cx="647700" cy="647700"/>
    <xdr:pic>
      <xdr:nvPicPr>
        <xdr:cNvPr id="282" name="photo_290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290</xdr:row>
      <xdr:rowOff>38100</xdr:rowOff>
    </xdr:from>
    <xdr:ext cx="647700" cy="647700"/>
    <xdr:pic>
      <xdr:nvPicPr>
        <xdr:cNvPr id="283" name="photo_291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291</xdr:row>
      <xdr:rowOff>38100</xdr:rowOff>
    </xdr:from>
    <xdr:ext cx="647700" cy="647700"/>
    <xdr:pic>
      <xdr:nvPicPr>
        <xdr:cNvPr id="284" name="photo_292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292</xdr:row>
      <xdr:rowOff>38100</xdr:rowOff>
    </xdr:from>
    <xdr:ext cx="647700" cy="647700"/>
    <xdr:pic>
      <xdr:nvPicPr>
        <xdr:cNvPr id="285" name="photo_293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293</xdr:row>
      <xdr:rowOff>38100</xdr:rowOff>
    </xdr:from>
    <xdr:ext cx="647700" cy="647700"/>
    <xdr:pic>
      <xdr:nvPicPr>
        <xdr:cNvPr id="286" name="photo_294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294</xdr:row>
      <xdr:rowOff>38100</xdr:rowOff>
    </xdr:from>
    <xdr:ext cx="647700" cy="647700"/>
    <xdr:pic>
      <xdr:nvPicPr>
        <xdr:cNvPr id="287" name="photo_295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295</xdr:row>
      <xdr:rowOff>38100</xdr:rowOff>
    </xdr:from>
    <xdr:ext cx="647700" cy="647700"/>
    <xdr:pic>
      <xdr:nvPicPr>
        <xdr:cNvPr id="288" name="photo_296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296</xdr:row>
      <xdr:rowOff>38100</xdr:rowOff>
    </xdr:from>
    <xdr:ext cx="647700" cy="647700"/>
    <xdr:pic>
      <xdr:nvPicPr>
        <xdr:cNvPr id="289" name="photo_297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297</xdr:row>
      <xdr:rowOff>38100</xdr:rowOff>
    </xdr:from>
    <xdr:ext cx="647700" cy="647700"/>
    <xdr:pic>
      <xdr:nvPicPr>
        <xdr:cNvPr id="290" name="photo_298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298</xdr:row>
      <xdr:rowOff>38100</xdr:rowOff>
    </xdr:from>
    <xdr:ext cx="647700" cy="647700"/>
    <xdr:pic>
      <xdr:nvPicPr>
        <xdr:cNvPr id="291" name="photo_299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299</xdr:row>
      <xdr:rowOff>38100</xdr:rowOff>
    </xdr:from>
    <xdr:ext cx="647700" cy="647700"/>
    <xdr:pic>
      <xdr:nvPicPr>
        <xdr:cNvPr id="292" name="photo_300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300</xdr:row>
      <xdr:rowOff>38100</xdr:rowOff>
    </xdr:from>
    <xdr:ext cx="647700" cy="647700"/>
    <xdr:pic>
      <xdr:nvPicPr>
        <xdr:cNvPr id="293" name="photo_301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301</xdr:row>
      <xdr:rowOff>38100</xdr:rowOff>
    </xdr:from>
    <xdr:ext cx="647700" cy="647700"/>
    <xdr:pic>
      <xdr:nvPicPr>
        <xdr:cNvPr id="294" name="photo_302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302</xdr:row>
      <xdr:rowOff>38100</xdr:rowOff>
    </xdr:from>
    <xdr:ext cx="647700" cy="647700"/>
    <xdr:pic>
      <xdr:nvPicPr>
        <xdr:cNvPr id="295" name="photo_303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303</xdr:row>
      <xdr:rowOff>142875</xdr:rowOff>
    </xdr:from>
    <xdr:ext cx="647700" cy="447675"/>
    <xdr:pic>
      <xdr:nvPicPr>
        <xdr:cNvPr id="296" name="photo_304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304</xdr:row>
      <xdr:rowOff>38100</xdr:rowOff>
    </xdr:from>
    <xdr:ext cx="647700" cy="647700"/>
    <xdr:pic>
      <xdr:nvPicPr>
        <xdr:cNvPr id="297" name="photo_305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305</xdr:row>
      <xdr:rowOff>38100</xdr:rowOff>
    </xdr:from>
    <xdr:ext cx="647700" cy="647700"/>
    <xdr:pic>
      <xdr:nvPicPr>
        <xdr:cNvPr id="298" name="photo_306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306</xdr:row>
      <xdr:rowOff>38100</xdr:rowOff>
    </xdr:from>
    <xdr:ext cx="647700" cy="647700"/>
    <xdr:pic>
      <xdr:nvPicPr>
        <xdr:cNvPr id="299" name="photo_307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307</xdr:row>
      <xdr:rowOff>38100</xdr:rowOff>
    </xdr:from>
    <xdr:ext cx="647700" cy="647700"/>
    <xdr:pic>
      <xdr:nvPicPr>
        <xdr:cNvPr id="300" name="photo_308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308</xdr:row>
      <xdr:rowOff>38100</xdr:rowOff>
    </xdr:from>
    <xdr:ext cx="647700" cy="647700"/>
    <xdr:pic>
      <xdr:nvPicPr>
        <xdr:cNvPr id="301" name="photo_309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309</xdr:row>
      <xdr:rowOff>38100</xdr:rowOff>
    </xdr:from>
    <xdr:ext cx="647700" cy="647700"/>
    <xdr:pic>
      <xdr:nvPicPr>
        <xdr:cNvPr id="302" name="photo_310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310</xdr:row>
      <xdr:rowOff>38100</xdr:rowOff>
    </xdr:from>
    <xdr:ext cx="647700" cy="647700"/>
    <xdr:pic>
      <xdr:nvPicPr>
        <xdr:cNvPr id="303" name="photo_311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311</xdr:row>
      <xdr:rowOff>38100</xdr:rowOff>
    </xdr:from>
    <xdr:ext cx="647700" cy="647700"/>
    <xdr:pic>
      <xdr:nvPicPr>
        <xdr:cNvPr id="304" name="photo_312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312</xdr:row>
      <xdr:rowOff>38100</xdr:rowOff>
    </xdr:from>
    <xdr:ext cx="647700" cy="647700"/>
    <xdr:pic>
      <xdr:nvPicPr>
        <xdr:cNvPr id="305" name="photo_313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313</xdr:row>
      <xdr:rowOff>38100</xdr:rowOff>
    </xdr:from>
    <xdr:ext cx="647700" cy="647700"/>
    <xdr:pic>
      <xdr:nvPicPr>
        <xdr:cNvPr id="306" name="photo_314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314</xdr:row>
      <xdr:rowOff>38100</xdr:rowOff>
    </xdr:from>
    <xdr:ext cx="647700" cy="647700"/>
    <xdr:pic>
      <xdr:nvPicPr>
        <xdr:cNvPr id="307" name="photo_315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315</xdr:row>
      <xdr:rowOff>38100</xdr:rowOff>
    </xdr:from>
    <xdr:ext cx="647700" cy="647700"/>
    <xdr:pic>
      <xdr:nvPicPr>
        <xdr:cNvPr id="308" name="photo_316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316</xdr:row>
      <xdr:rowOff>38100</xdr:rowOff>
    </xdr:from>
    <xdr:ext cx="647700" cy="647700"/>
    <xdr:pic>
      <xdr:nvPicPr>
        <xdr:cNvPr id="309" name="photo_317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317</xdr:row>
      <xdr:rowOff>38100</xdr:rowOff>
    </xdr:from>
    <xdr:ext cx="647700" cy="647700"/>
    <xdr:pic>
      <xdr:nvPicPr>
        <xdr:cNvPr id="310" name="photo_318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318</xdr:row>
      <xdr:rowOff>38100</xdr:rowOff>
    </xdr:from>
    <xdr:ext cx="647700" cy="647700"/>
    <xdr:pic>
      <xdr:nvPicPr>
        <xdr:cNvPr id="311" name="photo_319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319</xdr:row>
      <xdr:rowOff>38100</xdr:rowOff>
    </xdr:from>
    <xdr:ext cx="647700" cy="647700"/>
    <xdr:pic>
      <xdr:nvPicPr>
        <xdr:cNvPr id="312" name="photo_320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320</xdr:row>
      <xdr:rowOff>38100</xdr:rowOff>
    </xdr:from>
    <xdr:ext cx="647700" cy="647700"/>
    <xdr:pic>
      <xdr:nvPicPr>
        <xdr:cNvPr id="313" name="photo_321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321</xdr:row>
      <xdr:rowOff>38100</xdr:rowOff>
    </xdr:from>
    <xdr:ext cx="647700" cy="647700"/>
    <xdr:pic>
      <xdr:nvPicPr>
        <xdr:cNvPr id="314" name="photo_322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322</xdr:row>
      <xdr:rowOff>38100</xdr:rowOff>
    </xdr:from>
    <xdr:ext cx="647700" cy="647700"/>
    <xdr:pic>
      <xdr:nvPicPr>
        <xdr:cNvPr id="315" name="photo_323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323</xdr:row>
      <xdr:rowOff>38100</xdr:rowOff>
    </xdr:from>
    <xdr:ext cx="647700" cy="647700"/>
    <xdr:pic>
      <xdr:nvPicPr>
        <xdr:cNvPr id="316" name="photo_324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324</xdr:row>
      <xdr:rowOff>38100</xdr:rowOff>
    </xdr:from>
    <xdr:ext cx="647700" cy="647700"/>
    <xdr:pic>
      <xdr:nvPicPr>
        <xdr:cNvPr id="317" name="photo_325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325</xdr:row>
      <xdr:rowOff>38100</xdr:rowOff>
    </xdr:from>
    <xdr:ext cx="647700" cy="647700"/>
    <xdr:pic>
      <xdr:nvPicPr>
        <xdr:cNvPr id="318" name="photo_326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326</xdr:row>
      <xdr:rowOff>38100</xdr:rowOff>
    </xdr:from>
    <xdr:ext cx="647700" cy="647700"/>
    <xdr:pic>
      <xdr:nvPicPr>
        <xdr:cNvPr id="319" name="photo_327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327</xdr:row>
      <xdr:rowOff>38100</xdr:rowOff>
    </xdr:from>
    <xdr:ext cx="647700" cy="647700"/>
    <xdr:pic>
      <xdr:nvPicPr>
        <xdr:cNvPr id="320" name="photo_328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328</xdr:row>
      <xdr:rowOff>38100</xdr:rowOff>
    </xdr:from>
    <xdr:ext cx="647700" cy="647700"/>
    <xdr:pic>
      <xdr:nvPicPr>
        <xdr:cNvPr id="321" name="photo_329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329</xdr:row>
      <xdr:rowOff>38100</xdr:rowOff>
    </xdr:from>
    <xdr:ext cx="647700" cy="647700"/>
    <xdr:pic>
      <xdr:nvPicPr>
        <xdr:cNvPr id="322" name="photo_330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330</xdr:row>
      <xdr:rowOff>38100</xdr:rowOff>
    </xdr:from>
    <xdr:ext cx="647700" cy="647700"/>
    <xdr:pic>
      <xdr:nvPicPr>
        <xdr:cNvPr id="323" name="photo_331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331</xdr:row>
      <xdr:rowOff>38100</xdr:rowOff>
    </xdr:from>
    <xdr:ext cx="647700" cy="647700"/>
    <xdr:pic>
      <xdr:nvPicPr>
        <xdr:cNvPr id="324" name="photo_332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332</xdr:row>
      <xdr:rowOff>38100</xdr:rowOff>
    </xdr:from>
    <xdr:ext cx="647700" cy="647700"/>
    <xdr:pic>
      <xdr:nvPicPr>
        <xdr:cNvPr id="325" name="photo_333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333</xdr:row>
      <xdr:rowOff>38100</xdr:rowOff>
    </xdr:from>
    <xdr:ext cx="647700" cy="647700"/>
    <xdr:pic>
      <xdr:nvPicPr>
        <xdr:cNvPr id="326" name="photo_334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334</xdr:row>
      <xdr:rowOff>38100</xdr:rowOff>
    </xdr:from>
    <xdr:ext cx="647700" cy="647700"/>
    <xdr:pic>
      <xdr:nvPicPr>
        <xdr:cNvPr id="327" name="photo_335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335</xdr:row>
      <xdr:rowOff>38100</xdr:rowOff>
    </xdr:from>
    <xdr:ext cx="647700" cy="647700"/>
    <xdr:pic>
      <xdr:nvPicPr>
        <xdr:cNvPr id="328" name="photo_336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336</xdr:row>
      <xdr:rowOff>38100</xdr:rowOff>
    </xdr:from>
    <xdr:ext cx="647700" cy="647700"/>
    <xdr:pic>
      <xdr:nvPicPr>
        <xdr:cNvPr id="329" name="photo_337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337</xdr:row>
      <xdr:rowOff>38100</xdr:rowOff>
    </xdr:from>
    <xdr:ext cx="647700" cy="647700"/>
    <xdr:pic>
      <xdr:nvPicPr>
        <xdr:cNvPr id="330" name="photo_338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338</xdr:row>
      <xdr:rowOff>38100</xdr:rowOff>
    </xdr:from>
    <xdr:ext cx="647700" cy="647700"/>
    <xdr:pic>
      <xdr:nvPicPr>
        <xdr:cNvPr id="331" name="photo_339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339</xdr:row>
      <xdr:rowOff>38100</xdr:rowOff>
    </xdr:from>
    <xdr:ext cx="647700" cy="647700"/>
    <xdr:pic>
      <xdr:nvPicPr>
        <xdr:cNvPr id="332" name="photo_340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340</xdr:row>
      <xdr:rowOff>38100</xdr:rowOff>
    </xdr:from>
    <xdr:ext cx="647700" cy="647700"/>
    <xdr:pic>
      <xdr:nvPicPr>
        <xdr:cNvPr id="333" name="photo_341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342</xdr:row>
      <xdr:rowOff>142875</xdr:rowOff>
    </xdr:from>
    <xdr:ext cx="647700" cy="438150"/>
    <xdr:pic>
      <xdr:nvPicPr>
        <xdr:cNvPr id="334" name="photo_343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343</xdr:row>
      <xdr:rowOff>38100</xdr:rowOff>
    </xdr:from>
    <xdr:ext cx="647700" cy="647700"/>
    <xdr:pic>
      <xdr:nvPicPr>
        <xdr:cNvPr id="335" name="photo_344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344</xdr:row>
      <xdr:rowOff>38100</xdr:rowOff>
    </xdr:from>
    <xdr:ext cx="647700" cy="647700"/>
    <xdr:pic>
      <xdr:nvPicPr>
        <xdr:cNvPr id="336" name="photo_345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345</xdr:row>
      <xdr:rowOff>38100</xdr:rowOff>
    </xdr:from>
    <xdr:ext cx="647700" cy="647700"/>
    <xdr:pic>
      <xdr:nvPicPr>
        <xdr:cNvPr id="337" name="photo_346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346</xdr:row>
      <xdr:rowOff>38100</xdr:rowOff>
    </xdr:from>
    <xdr:ext cx="647700" cy="647700"/>
    <xdr:pic>
      <xdr:nvPicPr>
        <xdr:cNvPr id="338" name="photo_347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347</xdr:row>
      <xdr:rowOff>38100</xdr:rowOff>
    </xdr:from>
    <xdr:ext cx="647700" cy="647700"/>
    <xdr:pic>
      <xdr:nvPicPr>
        <xdr:cNvPr id="339" name="photo_348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348</xdr:row>
      <xdr:rowOff>38100</xdr:rowOff>
    </xdr:from>
    <xdr:ext cx="647700" cy="647700"/>
    <xdr:pic>
      <xdr:nvPicPr>
        <xdr:cNvPr id="340" name="photo_349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349</xdr:row>
      <xdr:rowOff>219075</xdr:rowOff>
    </xdr:from>
    <xdr:ext cx="647700" cy="285750"/>
    <xdr:pic>
      <xdr:nvPicPr>
        <xdr:cNvPr id="341" name="photo_350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350</xdr:row>
      <xdr:rowOff>38100</xdr:rowOff>
    </xdr:from>
    <xdr:ext cx="647700" cy="647700"/>
    <xdr:pic>
      <xdr:nvPicPr>
        <xdr:cNvPr id="342" name="photo_351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351</xdr:row>
      <xdr:rowOff>38100</xdr:rowOff>
    </xdr:from>
    <xdr:ext cx="647700" cy="647700"/>
    <xdr:pic>
      <xdr:nvPicPr>
        <xdr:cNvPr id="343" name="photo_352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352</xdr:row>
      <xdr:rowOff>38100</xdr:rowOff>
    </xdr:from>
    <xdr:ext cx="647700" cy="647700"/>
    <xdr:pic>
      <xdr:nvPicPr>
        <xdr:cNvPr id="344" name="photo_353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353</xdr:row>
      <xdr:rowOff>38100</xdr:rowOff>
    </xdr:from>
    <xdr:ext cx="647700" cy="647700"/>
    <xdr:pic>
      <xdr:nvPicPr>
        <xdr:cNvPr id="345" name="photo_354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354</xdr:row>
      <xdr:rowOff>38100</xdr:rowOff>
    </xdr:from>
    <xdr:ext cx="647700" cy="647700"/>
    <xdr:pic>
      <xdr:nvPicPr>
        <xdr:cNvPr id="346" name="photo_355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355</xdr:row>
      <xdr:rowOff>38100</xdr:rowOff>
    </xdr:from>
    <xdr:ext cx="647700" cy="647700"/>
    <xdr:pic>
      <xdr:nvPicPr>
        <xdr:cNvPr id="347" name="photo_356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356</xdr:row>
      <xdr:rowOff>38100</xdr:rowOff>
    </xdr:from>
    <xdr:ext cx="647700" cy="647700"/>
    <xdr:pic>
      <xdr:nvPicPr>
        <xdr:cNvPr id="348" name="photo_357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357</xdr:row>
      <xdr:rowOff>38100</xdr:rowOff>
    </xdr:from>
    <xdr:ext cx="647700" cy="647700"/>
    <xdr:pic>
      <xdr:nvPicPr>
        <xdr:cNvPr id="349" name="photo_358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358</xdr:row>
      <xdr:rowOff>38100</xdr:rowOff>
    </xdr:from>
    <xdr:ext cx="647700" cy="647700"/>
    <xdr:pic>
      <xdr:nvPicPr>
        <xdr:cNvPr id="350" name="photo_359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359</xdr:row>
      <xdr:rowOff>38100</xdr:rowOff>
    </xdr:from>
    <xdr:ext cx="647700" cy="647700"/>
    <xdr:pic>
      <xdr:nvPicPr>
        <xdr:cNvPr id="351" name="photo_360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360</xdr:row>
      <xdr:rowOff>38100</xdr:rowOff>
    </xdr:from>
    <xdr:ext cx="647700" cy="647700"/>
    <xdr:pic>
      <xdr:nvPicPr>
        <xdr:cNvPr id="352" name="photo_361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361</xdr:row>
      <xdr:rowOff>219075</xdr:rowOff>
    </xdr:from>
    <xdr:ext cx="647700" cy="285750"/>
    <xdr:pic>
      <xdr:nvPicPr>
        <xdr:cNvPr id="353" name="photo_362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362</xdr:row>
      <xdr:rowOff>38100</xdr:rowOff>
    </xdr:from>
    <xdr:ext cx="647700" cy="647700"/>
    <xdr:pic>
      <xdr:nvPicPr>
        <xdr:cNvPr id="354" name="photo_363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363</xdr:row>
      <xdr:rowOff>38100</xdr:rowOff>
    </xdr:from>
    <xdr:ext cx="647700" cy="647700"/>
    <xdr:pic>
      <xdr:nvPicPr>
        <xdr:cNvPr id="355" name="photo_364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364</xdr:row>
      <xdr:rowOff>38100</xdr:rowOff>
    </xdr:from>
    <xdr:ext cx="647700" cy="647700"/>
    <xdr:pic>
      <xdr:nvPicPr>
        <xdr:cNvPr id="356" name="photo_365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365</xdr:row>
      <xdr:rowOff>38100</xdr:rowOff>
    </xdr:from>
    <xdr:ext cx="647700" cy="647700"/>
    <xdr:pic>
      <xdr:nvPicPr>
        <xdr:cNvPr id="357" name="photo_366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366</xdr:row>
      <xdr:rowOff>38100</xdr:rowOff>
    </xdr:from>
    <xdr:ext cx="647700" cy="647700"/>
    <xdr:pic>
      <xdr:nvPicPr>
        <xdr:cNvPr id="358" name="photo_367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367</xdr:row>
      <xdr:rowOff>38100</xdr:rowOff>
    </xdr:from>
    <xdr:ext cx="647700" cy="647700"/>
    <xdr:pic>
      <xdr:nvPicPr>
        <xdr:cNvPr id="359" name="photo_368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368</xdr:row>
      <xdr:rowOff>38100</xdr:rowOff>
    </xdr:from>
    <xdr:ext cx="647700" cy="647700"/>
    <xdr:pic>
      <xdr:nvPicPr>
        <xdr:cNvPr id="360" name="photo_369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369</xdr:row>
      <xdr:rowOff>38100</xdr:rowOff>
    </xdr:from>
    <xdr:ext cx="647700" cy="647700"/>
    <xdr:pic>
      <xdr:nvPicPr>
        <xdr:cNvPr id="361" name="photo_370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370</xdr:row>
      <xdr:rowOff>38100</xdr:rowOff>
    </xdr:from>
    <xdr:ext cx="647700" cy="647700"/>
    <xdr:pic>
      <xdr:nvPicPr>
        <xdr:cNvPr id="362" name="photo_371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371</xdr:row>
      <xdr:rowOff>38100</xdr:rowOff>
    </xdr:from>
    <xdr:ext cx="647700" cy="647700"/>
    <xdr:pic>
      <xdr:nvPicPr>
        <xdr:cNvPr id="363" name="photo_372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372</xdr:row>
      <xdr:rowOff>38100</xdr:rowOff>
    </xdr:from>
    <xdr:ext cx="647700" cy="647700"/>
    <xdr:pic>
      <xdr:nvPicPr>
        <xdr:cNvPr id="364" name="photo_373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373</xdr:row>
      <xdr:rowOff>38100</xdr:rowOff>
    </xdr:from>
    <xdr:ext cx="647700" cy="647700"/>
    <xdr:pic>
      <xdr:nvPicPr>
        <xdr:cNvPr id="365" name="photo_374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374</xdr:row>
      <xdr:rowOff>38100</xdr:rowOff>
    </xdr:from>
    <xdr:ext cx="647700" cy="647700"/>
    <xdr:pic>
      <xdr:nvPicPr>
        <xdr:cNvPr id="366" name="photo_375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375</xdr:row>
      <xdr:rowOff>38100</xdr:rowOff>
    </xdr:from>
    <xdr:ext cx="647700" cy="647700"/>
    <xdr:pic>
      <xdr:nvPicPr>
        <xdr:cNvPr id="367" name="photo_376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376</xdr:row>
      <xdr:rowOff>38100</xdr:rowOff>
    </xdr:from>
    <xdr:ext cx="647700" cy="647700"/>
    <xdr:pic>
      <xdr:nvPicPr>
        <xdr:cNvPr id="368" name="photo_377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377</xdr:row>
      <xdr:rowOff>38100</xdr:rowOff>
    </xdr:from>
    <xdr:ext cx="647700" cy="647700"/>
    <xdr:pic>
      <xdr:nvPicPr>
        <xdr:cNvPr id="369" name="photo_378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378</xdr:row>
      <xdr:rowOff>38100</xdr:rowOff>
    </xdr:from>
    <xdr:ext cx="647700" cy="647700"/>
    <xdr:pic>
      <xdr:nvPicPr>
        <xdr:cNvPr id="370" name="photo_379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379</xdr:row>
      <xdr:rowOff>38100</xdr:rowOff>
    </xdr:from>
    <xdr:ext cx="647700" cy="647700"/>
    <xdr:pic>
      <xdr:nvPicPr>
        <xdr:cNvPr id="371" name="photo_380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380</xdr:row>
      <xdr:rowOff>38100</xdr:rowOff>
    </xdr:from>
    <xdr:ext cx="647700" cy="647700"/>
    <xdr:pic>
      <xdr:nvPicPr>
        <xdr:cNvPr id="372" name="photo_381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381</xdr:row>
      <xdr:rowOff>38100</xdr:rowOff>
    </xdr:from>
    <xdr:ext cx="647700" cy="647700"/>
    <xdr:pic>
      <xdr:nvPicPr>
        <xdr:cNvPr id="373" name="photo_382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382</xdr:row>
      <xdr:rowOff>38100</xdr:rowOff>
    </xdr:from>
    <xdr:ext cx="647700" cy="647700"/>
    <xdr:pic>
      <xdr:nvPicPr>
        <xdr:cNvPr id="374" name="photo_383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383</xdr:row>
      <xdr:rowOff>38100</xdr:rowOff>
    </xdr:from>
    <xdr:ext cx="647700" cy="647700"/>
    <xdr:pic>
      <xdr:nvPicPr>
        <xdr:cNvPr id="375" name="photo_384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384</xdr:row>
      <xdr:rowOff>38100</xdr:rowOff>
    </xdr:from>
    <xdr:ext cx="647700" cy="647700"/>
    <xdr:pic>
      <xdr:nvPicPr>
        <xdr:cNvPr id="376" name="photo_385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385</xdr:row>
      <xdr:rowOff>38100</xdr:rowOff>
    </xdr:from>
    <xdr:ext cx="647700" cy="647700"/>
    <xdr:pic>
      <xdr:nvPicPr>
        <xdr:cNvPr id="377" name="photo_386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386</xdr:row>
      <xdr:rowOff>38100</xdr:rowOff>
    </xdr:from>
    <xdr:ext cx="647700" cy="647700"/>
    <xdr:pic>
      <xdr:nvPicPr>
        <xdr:cNvPr id="378" name="photo_387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387</xdr:row>
      <xdr:rowOff>38100</xdr:rowOff>
    </xdr:from>
    <xdr:ext cx="647700" cy="647700"/>
    <xdr:pic>
      <xdr:nvPicPr>
        <xdr:cNvPr id="379" name="photo_388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388</xdr:row>
      <xdr:rowOff>104775</xdr:rowOff>
    </xdr:from>
    <xdr:ext cx="647700" cy="514350"/>
    <xdr:pic>
      <xdr:nvPicPr>
        <xdr:cNvPr id="380" name="photo_389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390</xdr:row>
      <xdr:rowOff>38100</xdr:rowOff>
    </xdr:from>
    <xdr:ext cx="647700" cy="647700"/>
    <xdr:pic>
      <xdr:nvPicPr>
        <xdr:cNvPr id="381" name="photo_391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391</xdr:row>
      <xdr:rowOff>38100</xdr:rowOff>
    </xdr:from>
    <xdr:ext cx="647700" cy="647700"/>
    <xdr:pic>
      <xdr:nvPicPr>
        <xdr:cNvPr id="382" name="photo_392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392</xdr:row>
      <xdr:rowOff>38100</xdr:rowOff>
    </xdr:from>
    <xdr:ext cx="647700" cy="647700"/>
    <xdr:pic>
      <xdr:nvPicPr>
        <xdr:cNvPr id="383" name="photo_393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393</xdr:row>
      <xdr:rowOff>38100</xdr:rowOff>
    </xdr:from>
    <xdr:ext cx="647700" cy="647700"/>
    <xdr:pic>
      <xdr:nvPicPr>
        <xdr:cNvPr id="384" name="photo_394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394</xdr:row>
      <xdr:rowOff>38100</xdr:rowOff>
    </xdr:from>
    <xdr:ext cx="647700" cy="647700"/>
    <xdr:pic>
      <xdr:nvPicPr>
        <xdr:cNvPr id="385" name="photo_395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395</xdr:row>
      <xdr:rowOff>38100</xdr:rowOff>
    </xdr:from>
    <xdr:ext cx="647700" cy="647700"/>
    <xdr:pic>
      <xdr:nvPicPr>
        <xdr:cNvPr id="386" name="photo_396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396</xdr:row>
      <xdr:rowOff>38100</xdr:rowOff>
    </xdr:from>
    <xdr:ext cx="647700" cy="647700"/>
    <xdr:pic>
      <xdr:nvPicPr>
        <xdr:cNvPr id="387" name="photo_397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397</xdr:row>
      <xdr:rowOff>38100</xdr:rowOff>
    </xdr:from>
    <xdr:ext cx="647700" cy="647700"/>
    <xdr:pic>
      <xdr:nvPicPr>
        <xdr:cNvPr id="388" name="photo_398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398</xdr:row>
      <xdr:rowOff>38100</xdr:rowOff>
    </xdr:from>
    <xdr:ext cx="647700" cy="647700"/>
    <xdr:pic>
      <xdr:nvPicPr>
        <xdr:cNvPr id="389" name="photo_399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399</xdr:row>
      <xdr:rowOff>38100</xdr:rowOff>
    </xdr:from>
    <xdr:ext cx="647700" cy="647700"/>
    <xdr:pic>
      <xdr:nvPicPr>
        <xdr:cNvPr id="390" name="photo_400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400</xdr:row>
      <xdr:rowOff>38100</xdr:rowOff>
    </xdr:from>
    <xdr:ext cx="647700" cy="647700"/>
    <xdr:pic>
      <xdr:nvPicPr>
        <xdr:cNvPr id="391" name="photo_401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401</xdr:row>
      <xdr:rowOff>38100</xdr:rowOff>
    </xdr:from>
    <xdr:ext cx="647700" cy="647700"/>
    <xdr:pic>
      <xdr:nvPicPr>
        <xdr:cNvPr id="392" name="photo_402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402</xdr:row>
      <xdr:rowOff>38100</xdr:rowOff>
    </xdr:from>
    <xdr:ext cx="647700" cy="647700"/>
    <xdr:pic>
      <xdr:nvPicPr>
        <xdr:cNvPr id="393" name="photo_403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403</xdr:row>
      <xdr:rowOff>38100</xdr:rowOff>
    </xdr:from>
    <xdr:ext cx="647700" cy="647700"/>
    <xdr:pic>
      <xdr:nvPicPr>
        <xdr:cNvPr id="394" name="photo_404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404</xdr:row>
      <xdr:rowOff>38100</xdr:rowOff>
    </xdr:from>
    <xdr:ext cx="647700" cy="647700"/>
    <xdr:pic>
      <xdr:nvPicPr>
        <xdr:cNvPr id="395" name="photo_405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405</xdr:row>
      <xdr:rowOff>38100</xdr:rowOff>
    </xdr:from>
    <xdr:ext cx="647700" cy="647700"/>
    <xdr:pic>
      <xdr:nvPicPr>
        <xdr:cNvPr id="396" name="photo_406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406</xdr:row>
      <xdr:rowOff>38100</xdr:rowOff>
    </xdr:from>
    <xdr:ext cx="647700" cy="647700"/>
    <xdr:pic>
      <xdr:nvPicPr>
        <xdr:cNvPr id="397" name="photo_407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407</xdr:row>
      <xdr:rowOff>38100</xdr:rowOff>
    </xdr:from>
    <xdr:ext cx="647700" cy="647700"/>
    <xdr:pic>
      <xdr:nvPicPr>
        <xdr:cNvPr id="398" name="photo_408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408</xdr:row>
      <xdr:rowOff>38100</xdr:rowOff>
    </xdr:from>
    <xdr:ext cx="647700" cy="647700"/>
    <xdr:pic>
      <xdr:nvPicPr>
        <xdr:cNvPr id="399" name="photo_409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409</xdr:row>
      <xdr:rowOff>38100</xdr:rowOff>
    </xdr:from>
    <xdr:ext cx="647700" cy="647700"/>
    <xdr:pic>
      <xdr:nvPicPr>
        <xdr:cNvPr id="400" name="photo_410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410</xdr:row>
      <xdr:rowOff>38100</xdr:rowOff>
    </xdr:from>
    <xdr:ext cx="647700" cy="647700"/>
    <xdr:pic>
      <xdr:nvPicPr>
        <xdr:cNvPr id="401" name="photo_411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411</xdr:row>
      <xdr:rowOff>38100</xdr:rowOff>
    </xdr:from>
    <xdr:ext cx="647700" cy="647700"/>
    <xdr:pic>
      <xdr:nvPicPr>
        <xdr:cNvPr id="402" name="photo_412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412</xdr:row>
      <xdr:rowOff>38100</xdr:rowOff>
    </xdr:from>
    <xdr:ext cx="647700" cy="647700"/>
    <xdr:pic>
      <xdr:nvPicPr>
        <xdr:cNvPr id="403" name="photo_413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413</xdr:row>
      <xdr:rowOff>38100</xdr:rowOff>
    </xdr:from>
    <xdr:ext cx="647700" cy="647700"/>
    <xdr:pic>
      <xdr:nvPicPr>
        <xdr:cNvPr id="404" name="photo_414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414</xdr:row>
      <xdr:rowOff>38100</xdr:rowOff>
    </xdr:from>
    <xdr:ext cx="647700" cy="647700"/>
    <xdr:pic>
      <xdr:nvPicPr>
        <xdr:cNvPr id="405" name="photo_415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416</xdr:row>
      <xdr:rowOff>38100</xdr:rowOff>
    </xdr:from>
    <xdr:ext cx="647700" cy="647700"/>
    <xdr:pic>
      <xdr:nvPicPr>
        <xdr:cNvPr id="406" name="photo_417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417</xdr:row>
      <xdr:rowOff>38100</xdr:rowOff>
    </xdr:from>
    <xdr:ext cx="647700" cy="647700"/>
    <xdr:pic>
      <xdr:nvPicPr>
        <xdr:cNvPr id="407" name="photo_418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418</xdr:row>
      <xdr:rowOff>38100</xdr:rowOff>
    </xdr:from>
    <xdr:ext cx="647700" cy="647700"/>
    <xdr:pic>
      <xdr:nvPicPr>
        <xdr:cNvPr id="408" name="photo_419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419</xdr:row>
      <xdr:rowOff>38100</xdr:rowOff>
    </xdr:from>
    <xdr:ext cx="647700" cy="647700"/>
    <xdr:pic>
      <xdr:nvPicPr>
        <xdr:cNvPr id="409" name="photo_420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420</xdr:row>
      <xdr:rowOff>38100</xdr:rowOff>
    </xdr:from>
    <xdr:ext cx="647700" cy="647700"/>
    <xdr:pic>
      <xdr:nvPicPr>
        <xdr:cNvPr id="410" name="photo_421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421</xdr:row>
      <xdr:rowOff>38100</xdr:rowOff>
    </xdr:from>
    <xdr:ext cx="647700" cy="647700"/>
    <xdr:pic>
      <xdr:nvPicPr>
        <xdr:cNvPr id="411" name="photo_422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422</xdr:row>
      <xdr:rowOff>38100</xdr:rowOff>
    </xdr:from>
    <xdr:ext cx="647700" cy="647700"/>
    <xdr:pic>
      <xdr:nvPicPr>
        <xdr:cNvPr id="412" name="photo_423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423</xdr:row>
      <xdr:rowOff>38100</xdr:rowOff>
    </xdr:from>
    <xdr:ext cx="647700" cy="647700"/>
    <xdr:pic>
      <xdr:nvPicPr>
        <xdr:cNvPr id="413" name="photo_424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424</xdr:row>
      <xdr:rowOff>38100</xdr:rowOff>
    </xdr:from>
    <xdr:ext cx="647700" cy="647700"/>
    <xdr:pic>
      <xdr:nvPicPr>
        <xdr:cNvPr id="414" name="photo_425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425</xdr:row>
      <xdr:rowOff>38100</xdr:rowOff>
    </xdr:from>
    <xdr:ext cx="647700" cy="647700"/>
    <xdr:pic>
      <xdr:nvPicPr>
        <xdr:cNvPr id="415" name="photo_426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426</xdr:row>
      <xdr:rowOff>38100</xdr:rowOff>
    </xdr:from>
    <xdr:ext cx="647700" cy="647700"/>
    <xdr:pic>
      <xdr:nvPicPr>
        <xdr:cNvPr id="416" name="photo_427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427</xdr:row>
      <xdr:rowOff>38100</xdr:rowOff>
    </xdr:from>
    <xdr:ext cx="647700" cy="647700"/>
    <xdr:pic>
      <xdr:nvPicPr>
        <xdr:cNvPr id="417" name="photo_428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429</xdr:row>
      <xdr:rowOff>38100</xdr:rowOff>
    </xdr:from>
    <xdr:ext cx="647700" cy="647700"/>
    <xdr:pic>
      <xdr:nvPicPr>
        <xdr:cNvPr id="418" name="photo_430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430</xdr:row>
      <xdr:rowOff>38100</xdr:rowOff>
    </xdr:from>
    <xdr:ext cx="647700" cy="647700"/>
    <xdr:pic>
      <xdr:nvPicPr>
        <xdr:cNvPr id="419" name="photo_431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431</xdr:row>
      <xdr:rowOff>38100</xdr:rowOff>
    </xdr:from>
    <xdr:ext cx="647700" cy="647700"/>
    <xdr:pic>
      <xdr:nvPicPr>
        <xdr:cNvPr id="420" name="photo_432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433</xdr:row>
      <xdr:rowOff>38100</xdr:rowOff>
    </xdr:from>
    <xdr:ext cx="600075" cy="647700"/>
    <xdr:pic>
      <xdr:nvPicPr>
        <xdr:cNvPr id="421" name="photo_434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434</xdr:row>
      <xdr:rowOff>38100</xdr:rowOff>
    </xdr:from>
    <xdr:ext cx="647700" cy="647700"/>
    <xdr:pic>
      <xdr:nvPicPr>
        <xdr:cNvPr id="422" name="photo_435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test.lavrpack.ru/catalog/?product=8ca2a692-bb0f-11ec-bc66-00e01a6800eb" TargetMode="External"/><Relationship Id="rId_hyperlink_2" Type="http://schemas.openxmlformats.org/officeDocument/2006/relationships/hyperlink" Target="https://www.test.lavrpack.ru/catalog/?product=732cc0b2-bb1e-11ec-bc66-00e01a6800eb" TargetMode="External"/><Relationship Id="rId_hyperlink_3" Type="http://schemas.openxmlformats.org/officeDocument/2006/relationships/hyperlink" Target="https://www.test.lavrpack.ru/catalog/?product=509e4b49-bb1c-11ec-bc66-00e01a6800eb" TargetMode="External"/><Relationship Id="rId_hyperlink_4" Type="http://schemas.openxmlformats.org/officeDocument/2006/relationships/hyperlink" Target="https://www.test.lavrpack.ru/catalog/?product=b3bd9629-bb1d-11ec-bc66-00e01a6800eb" TargetMode="External"/><Relationship Id="rId_hyperlink_5" Type="http://schemas.openxmlformats.org/officeDocument/2006/relationships/hyperlink" Target="https://www.test.lavrpack.ru/catalog/?product=0aca731e-06db-11ee-90e0-00e01a6800eb" TargetMode="External"/><Relationship Id="rId_hyperlink_6" Type="http://schemas.openxmlformats.org/officeDocument/2006/relationships/hyperlink" Target="https://www.test.lavrpack.ru/catalog/?product=f3e0ec54-bb1c-11ec-bc66-00e01a6800eb" TargetMode="External"/><Relationship Id="rId_hyperlink_7" Type="http://schemas.openxmlformats.org/officeDocument/2006/relationships/hyperlink" Target="https://www.test.lavrpack.ru/catalog/?product=6e963e5c-bb1c-11ec-bc66-00e01a6800eb" TargetMode="External"/><Relationship Id="rId_hyperlink_8" Type="http://schemas.openxmlformats.org/officeDocument/2006/relationships/hyperlink" Target="https://www.test.lavrpack.ru/catalog/?product=9b927fc9-bb1c-11ec-bc66-00e01a6800eb" TargetMode="External"/><Relationship Id="rId_hyperlink_9" Type="http://schemas.openxmlformats.org/officeDocument/2006/relationships/hyperlink" Target="https://www.test.lavrpack.ru/catalog/?product=88986f61-06da-11ee-90e0-00e01a6800eb" TargetMode="External"/><Relationship Id="rId_hyperlink_10" Type="http://schemas.openxmlformats.org/officeDocument/2006/relationships/hyperlink" Target="https://www.test.lavrpack.ru/catalog/?product=05b67ba1-bb1d-11ec-bc66-00e01a6800eb" TargetMode="External"/><Relationship Id="rId_hyperlink_11" Type="http://schemas.openxmlformats.org/officeDocument/2006/relationships/hyperlink" Target="https://www.test.lavrpack.ru/catalog/?product=95525e18-06d8-11ee-90e0-00e01a6800eb" TargetMode="External"/><Relationship Id="rId_hyperlink_12" Type="http://schemas.openxmlformats.org/officeDocument/2006/relationships/hyperlink" Target="https://www.test.lavrpack.ru/catalog/?product=50e33eba-bb17-11ec-bc66-00e01a6800eb" TargetMode="External"/><Relationship Id="rId_hyperlink_13" Type="http://schemas.openxmlformats.org/officeDocument/2006/relationships/hyperlink" Target="https://www.test.lavrpack.ru/catalog/?product=14c71a5e-bb19-11ec-bc66-00e01a6800eb" TargetMode="External"/><Relationship Id="rId_hyperlink_14" Type="http://schemas.openxmlformats.org/officeDocument/2006/relationships/hyperlink" Target="https://www.test.lavrpack.ru/catalog/?product=fedd8f98-bb0f-11ec-bc66-00e01a6800eb" TargetMode="External"/><Relationship Id="rId_hyperlink_15" Type="http://schemas.openxmlformats.org/officeDocument/2006/relationships/hyperlink" Target="https://www.test.lavrpack.ru/catalog/?product=1544d9cc-bb1d-11ec-bc66-00e01a6800eb" TargetMode="External"/><Relationship Id="rId_hyperlink_16" Type="http://schemas.openxmlformats.org/officeDocument/2006/relationships/hyperlink" Target="https://www.test.lavrpack.ru/catalog/?product=8a44caf6-532a-11ee-bc2f-00e01a6800eb" TargetMode="External"/><Relationship Id="rId_hyperlink_17" Type="http://schemas.openxmlformats.org/officeDocument/2006/relationships/hyperlink" Target="https://www.test.lavrpack.ru/catalog/?product=68c6ca78-06da-11ee-90e0-00e01a6800eb" TargetMode="External"/><Relationship Id="rId_hyperlink_18" Type="http://schemas.openxmlformats.org/officeDocument/2006/relationships/hyperlink" Target="https://www.test.lavrpack.ru/catalog/?product=d4166b8b-bb1c-11ec-bc66-00e01a6800eb" TargetMode="External"/><Relationship Id="rId_hyperlink_19" Type="http://schemas.openxmlformats.org/officeDocument/2006/relationships/hyperlink" Target="https://www.test.lavrpack.ru/catalog/?product=3f389ca8-bb1c-11ec-bc66-00e01a6800eb" TargetMode="External"/><Relationship Id="rId_hyperlink_20" Type="http://schemas.openxmlformats.org/officeDocument/2006/relationships/hyperlink" Target="https://www.test.lavrpack.ru/catalog/?product=c00ad2b4-bb1d-11ec-bc66-00e01a6800eb" TargetMode="External"/><Relationship Id="rId_hyperlink_21" Type="http://schemas.openxmlformats.org/officeDocument/2006/relationships/hyperlink" Target="https://www.test.lavrpack.ru/catalog/?product=a6ad28c8-bb1d-11ec-bc66-00e01a6800eb" TargetMode="External"/><Relationship Id="rId_hyperlink_22" Type="http://schemas.openxmlformats.org/officeDocument/2006/relationships/hyperlink" Target="https://www.test.lavrpack.ru/catalog/?product=3b83d38a-bb1e-11ec-bc66-00e01a6800eb" TargetMode="External"/><Relationship Id="rId_hyperlink_23" Type="http://schemas.openxmlformats.org/officeDocument/2006/relationships/hyperlink" Target="https://www.test.lavrpack.ru/catalog/?product=66aa157c-bb17-11ec-bc66-00e01a6800eb" TargetMode="External"/><Relationship Id="rId_hyperlink_24" Type="http://schemas.openxmlformats.org/officeDocument/2006/relationships/hyperlink" Target="https://www.test.lavrpack.ru/catalog/?product=ffe98a77-bb18-11ec-bc66-00e01a6800eb" TargetMode="External"/><Relationship Id="rId_hyperlink_25" Type="http://schemas.openxmlformats.org/officeDocument/2006/relationships/hyperlink" Target="https://www.test.lavrpack.ru/catalog/?product=755fd66d-bb17-11ec-bc66-00e01a6800eb" TargetMode="External"/><Relationship Id="rId_hyperlink_26" Type="http://schemas.openxmlformats.org/officeDocument/2006/relationships/hyperlink" Target="https://www.test.lavrpack.ru/catalog/?product=e2dbdede-bb0f-11ec-bc66-00e01a6800eb" TargetMode="External"/><Relationship Id="rId_hyperlink_27" Type="http://schemas.openxmlformats.org/officeDocument/2006/relationships/hyperlink" Target="https://www.test.lavrpack.ru/catalog/?product=e2930b76-bb1c-11ec-bc66-00e01a6800eb" TargetMode="External"/><Relationship Id="rId_hyperlink_28" Type="http://schemas.openxmlformats.org/officeDocument/2006/relationships/hyperlink" Target="https://www.test.lavrpack.ru/catalog/?product=cc6d7ba1-bb1d-11ec-bc66-00e01a6800eb" TargetMode="External"/><Relationship Id="rId_hyperlink_29" Type="http://schemas.openxmlformats.org/officeDocument/2006/relationships/hyperlink" Target="https://www.test.lavrpack.ru/catalog/?product=b6611eff-bb1c-11ec-bc66-00e01a6800eb" TargetMode="External"/><Relationship Id="rId_hyperlink_30" Type="http://schemas.openxmlformats.org/officeDocument/2006/relationships/hyperlink" Target="https://www.test.lavrpack.ru/catalog/?product=1c548a2b-bb1f-11ec-bc66-00e01a6800eb" TargetMode="External"/><Relationship Id="rId_hyperlink_31" Type="http://schemas.openxmlformats.org/officeDocument/2006/relationships/hyperlink" Target="https://www.test.lavrpack.ru/catalog/?product=4a91aa3d-bb26-11ec-bc66-00e01a6800eb" TargetMode="External"/><Relationship Id="rId_hyperlink_32" Type="http://schemas.openxmlformats.org/officeDocument/2006/relationships/hyperlink" Target="https://www.test.lavrpack.ru/catalog/?product=e947b47a-1511-11f0-ab40-22344d083d2c" TargetMode="External"/><Relationship Id="rId_hyperlink_33" Type="http://schemas.openxmlformats.org/officeDocument/2006/relationships/hyperlink" Target="https://www.test.lavrpack.ru/catalog/?product=4604d9aa-1510-11f0-ab40-22344d083d2c" TargetMode="External"/><Relationship Id="rId_hyperlink_34" Type="http://schemas.openxmlformats.org/officeDocument/2006/relationships/hyperlink" Target="https://www.test.lavrpack.ru/catalog/?product=c9b1ef37-06db-11ee-90e0-00e01a6800eb" TargetMode="External"/><Relationship Id="rId_hyperlink_35" Type="http://schemas.openxmlformats.org/officeDocument/2006/relationships/hyperlink" Target="https://www.test.lavrpack.ru/catalog/?product=ee18e3be-3a1a-11f0-ab41-22344d083d2c%23a72a8690-3a1b-11f0-ab41-22344d083d2c" TargetMode="External"/><Relationship Id="rId_hyperlink_36" Type="http://schemas.openxmlformats.org/officeDocument/2006/relationships/hyperlink" Target="https://www.test.lavrpack.ru/catalog/?product=ee18e3be-3a1a-11f0-ab41-22344d083d2c%23fefdab02-3a1a-11f0-ab41-22344d083d2c" TargetMode="External"/><Relationship Id="rId_hyperlink_37" Type="http://schemas.openxmlformats.org/officeDocument/2006/relationships/hyperlink" Target="https://www.test.lavrpack.ru/catalog/?product=ee18e3be-3a1a-11f0-ab41-22344d083d2c%23ab845e2a-3a1c-11f0-ab41-22344d083d2c" TargetMode="External"/><Relationship Id="rId_hyperlink_38" Type="http://schemas.openxmlformats.org/officeDocument/2006/relationships/hyperlink" Target="https://www.test.lavrpack.ru/catalog/?product=ee18e3be-3a1a-11f0-ab41-22344d083d2c%23f8d5cace-3a1b-11f0-ab41-22344d083d2c" TargetMode="External"/><Relationship Id="rId_hyperlink_39" Type="http://schemas.openxmlformats.org/officeDocument/2006/relationships/hyperlink" Target="https://www.test.lavrpack.ru/catalog/?product=ee18e3be-3a1a-11f0-ab41-22344d083d2c%2392ee0368-3a1c-11f0-ab41-22344d083d2c" TargetMode="External"/><Relationship Id="rId_hyperlink_40" Type="http://schemas.openxmlformats.org/officeDocument/2006/relationships/hyperlink" Target="https://www.test.lavrpack.ru/catalog/?product=ee18e3be-3a1a-11f0-ab41-22344d083d2c%234474cecb-3a1b-11f0-ab41-22344d083d2c" TargetMode="External"/><Relationship Id="rId_hyperlink_41" Type="http://schemas.openxmlformats.org/officeDocument/2006/relationships/hyperlink" Target="https://www.test.lavrpack.ru/catalog/?product=ee18e3be-3a1a-11f0-ab41-22344d083d2c%231f55d183-3a1b-11f0-ab41-22344d083d2c" TargetMode="External"/><Relationship Id="rId_hyperlink_42" Type="http://schemas.openxmlformats.org/officeDocument/2006/relationships/hyperlink" Target="https://www.test.lavrpack.ru/catalog/?product=ee18e3be-3a1a-11f0-ab41-22344d083d2c%23be684623-3a1b-11f0-ab41-22344d083d2c" TargetMode="External"/><Relationship Id="rId_hyperlink_43" Type="http://schemas.openxmlformats.org/officeDocument/2006/relationships/hyperlink" Target="https://www.test.lavrpack.ru/catalog/?product=ee18e3be-3a1a-11f0-ab41-22344d083d2c%237522b308-3a1b-11f0-ab41-22344d083d2c" TargetMode="External"/><Relationship Id="rId_hyperlink_44" Type="http://schemas.openxmlformats.org/officeDocument/2006/relationships/hyperlink" Target="https://www.test.lavrpack.ru/catalog/?product=ee18e3be-3a1a-11f0-ab41-22344d083d2c%23388e4d51-3a1c-11f0-ab41-22344d083d2c" TargetMode="External"/><Relationship Id="rId_hyperlink_45" Type="http://schemas.openxmlformats.org/officeDocument/2006/relationships/hyperlink" Target="https://www.test.lavrpack.ru/catalog/?product=ee18e3be-3a1a-11f0-ab41-22344d083d2c%2364edae61-3a1c-11f0-ab41-22344d083d2c" TargetMode="External"/><Relationship Id="rId_hyperlink_46" Type="http://schemas.openxmlformats.org/officeDocument/2006/relationships/hyperlink" Target="https://www.test.lavrpack.ru/catalog/?product=ee18e3be-3a1a-11f0-ab41-22344d083d2c%23650ad2c4-3a1b-11f0-ab41-22344d083d2c" TargetMode="External"/><Relationship Id="rId_hyperlink_47" Type="http://schemas.openxmlformats.org/officeDocument/2006/relationships/hyperlink" Target="https://www.test.lavrpack.ru/catalog/?product=ee18e3be-3a1a-11f0-ab41-22344d083d2c%23f886dad1-3a1c-11f0-ab41-22344d083d2c" TargetMode="External"/><Relationship Id="rId_hyperlink_48" Type="http://schemas.openxmlformats.org/officeDocument/2006/relationships/hyperlink" Target="https://www.test.lavrpack.ru/catalog/?product=ee18e3be-3a1a-11f0-ab41-22344d083d2c%236d2b5443-3a1c-11f0-ab41-22344d083d2c" TargetMode="External"/><Relationship Id="rId_hyperlink_49" Type="http://schemas.openxmlformats.org/officeDocument/2006/relationships/hyperlink" Target="https://www.test.lavrpack.ru/catalog/?product=ee18e3be-3a1a-11f0-ab41-22344d083d2c%237bf608af-3a1c-11f0-ab41-22344d083d2c" TargetMode="External"/><Relationship Id="rId_hyperlink_50" Type="http://schemas.openxmlformats.org/officeDocument/2006/relationships/hyperlink" Target="https://www.test.lavrpack.ru/catalog/?product=ee18e3be-3a1a-11f0-ab41-22344d083d2c%2350c2d3cc-3a1b-11f0-ab41-22344d083d2c" TargetMode="External"/><Relationship Id="rId_hyperlink_51" Type="http://schemas.openxmlformats.org/officeDocument/2006/relationships/hyperlink" Target="https://www.test.lavrpack.ru/catalog/?product=ee18e3be-3a1a-11f0-ab41-22344d083d2c%230f91e80b-3a1b-11f0-ab41-22344d083d2c" TargetMode="External"/><Relationship Id="rId_hyperlink_52" Type="http://schemas.openxmlformats.org/officeDocument/2006/relationships/hyperlink" Target="https://www.test.lavrpack.ru/catalog/?product=ee18e3be-3a1a-11f0-ab41-22344d083d2c%2336721243-3a1b-11f0-ab41-22344d083d2c" TargetMode="External"/><Relationship Id="rId_hyperlink_53" Type="http://schemas.openxmlformats.org/officeDocument/2006/relationships/hyperlink" Target="https://www.test.lavrpack.ru/catalog/?product=ee18e3be-3a1a-11f0-ab41-22344d083d2c%235cbbb28d-3a1c-11f0-ab41-22344d083d2c" TargetMode="External"/><Relationship Id="rId_hyperlink_54" Type="http://schemas.openxmlformats.org/officeDocument/2006/relationships/hyperlink" Target="https://www.test.lavrpack.ru/catalog/?product=ee18e3be-3a1a-11f0-ab41-22344d083d2c%23ff43edf9-3a1b-11f0-ab41-22344d083d2c" TargetMode="External"/><Relationship Id="rId_hyperlink_55" Type="http://schemas.openxmlformats.org/officeDocument/2006/relationships/hyperlink" Target="https://www.test.lavrpack.ru/catalog/?product=ee18e3be-3a1a-11f0-ab41-22344d083d2c%2348bc240a-3a1c-11f0-ab41-22344d083d2c" TargetMode="External"/><Relationship Id="rId_hyperlink_56" Type="http://schemas.openxmlformats.org/officeDocument/2006/relationships/hyperlink" Target="https://www.test.lavrpack.ru/catalog/?product=ee18e3be-3a1a-11f0-ab41-22344d083d2c%23da665564-3a1b-11f0-ab41-22344d083d2c" TargetMode="External"/><Relationship Id="rId_hyperlink_57" Type="http://schemas.openxmlformats.org/officeDocument/2006/relationships/hyperlink" Target="https://www.test.lavrpack.ru/catalog/?product=3f4fd121-3a1e-11f0-ab41-22344d083d2c%23b930139d-3a1e-11f0-ab41-22344d083d2c" TargetMode="External"/><Relationship Id="rId_hyperlink_58" Type="http://schemas.openxmlformats.org/officeDocument/2006/relationships/hyperlink" Target="https://www.test.lavrpack.ru/catalog/?product=3f4fd121-3a1e-11f0-ab41-22344d083d2c%2362de325a-3a1e-11f0-ab41-22344d083d2c" TargetMode="External"/><Relationship Id="rId_hyperlink_59" Type="http://schemas.openxmlformats.org/officeDocument/2006/relationships/hyperlink" Target="https://www.test.lavrpack.ru/catalog/?product=3f4fd121-3a1e-11f0-ab41-22344d083d2c%238a2dc67c-3a1e-11f0-ab41-22344d083d2c" TargetMode="External"/><Relationship Id="rId_hyperlink_60" Type="http://schemas.openxmlformats.org/officeDocument/2006/relationships/hyperlink" Target="https://www.test.lavrpack.ru/catalog/?product=3f4fd121-3a1e-11f0-ab41-22344d083d2c%23b07a4cfe-3a1e-11f0-ab41-22344d083d2c" TargetMode="External"/><Relationship Id="rId_hyperlink_61" Type="http://schemas.openxmlformats.org/officeDocument/2006/relationships/hyperlink" Target="https://www.test.lavrpack.ru/catalog/?product=3f4fd121-3a1e-11f0-ab41-22344d083d2c%23d5eb0e1f-3a1e-11f0-ab41-22344d083d2c" TargetMode="External"/><Relationship Id="rId_hyperlink_62" Type="http://schemas.openxmlformats.org/officeDocument/2006/relationships/hyperlink" Target="https://www.test.lavrpack.ru/catalog/?product=3f4fd121-3a1e-11f0-ab41-22344d083d2c%235908c446-3a1e-11f0-ab41-22344d083d2c" TargetMode="External"/><Relationship Id="rId_hyperlink_63" Type="http://schemas.openxmlformats.org/officeDocument/2006/relationships/hyperlink" Target="https://www.test.lavrpack.ru/catalog/?product=3f4fd121-3a1e-11f0-ab41-22344d083d2c%23a0d34cfe-3a1e-11f0-ab41-22344d083d2c" TargetMode="External"/><Relationship Id="rId_hyperlink_64" Type="http://schemas.openxmlformats.org/officeDocument/2006/relationships/hyperlink" Target="https://www.test.lavrpack.ru/catalog/?product=4ac2f62f-bbbd-11ec-bc66-00e01a6800eb" TargetMode="External"/><Relationship Id="rId_hyperlink_65" Type="http://schemas.openxmlformats.org/officeDocument/2006/relationships/hyperlink" Target="https://www.test.lavrpack.ru/catalog/?product=d661b152-bbbb-11ec-bc66-00e01a6800eb" TargetMode="External"/><Relationship Id="rId_hyperlink_66" Type="http://schemas.openxmlformats.org/officeDocument/2006/relationships/hyperlink" Target="https://www.test.lavrpack.ru/catalog/?product=88afee9a-5e1b-11f0-ab47-22344d083d2c" TargetMode="External"/><Relationship Id="rId_hyperlink_67" Type="http://schemas.openxmlformats.org/officeDocument/2006/relationships/hyperlink" Target="https://www.test.lavrpack.ru/catalog/?product=ef9945db-bbbb-11ec-bc66-00e01a6800eb" TargetMode="External"/><Relationship Id="rId_hyperlink_68" Type="http://schemas.openxmlformats.org/officeDocument/2006/relationships/hyperlink" Target="https://www.test.lavrpack.ru/catalog/?product=dbc821e7-bb22-11ec-bc66-00e01a6800eb" TargetMode="External"/><Relationship Id="rId_hyperlink_69" Type="http://schemas.openxmlformats.org/officeDocument/2006/relationships/hyperlink" Target="https://www.test.lavrpack.ru/catalog/?product=3e82bdd2-ef7a-11ef-ab3d-22344d083d2c" TargetMode="External"/><Relationship Id="rId_hyperlink_70" Type="http://schemas.openxmlformats.org/officeDocument/2006/relationships/hyperlink" Target="https://www.test.lavrpack.ru/catalog/?product=1294861b-903c-11ee-a8ad-00e01a6800eb%23d6cbb1e9-903d-11ee-a8ad-00e01a6800eb" TargetMode="External"/><Relationship Id="rId_hyperlink_71" Type="http://schemas.openxmlformats.org/officeDocument/2006/relationships/hyperlink" Target="https://www.test.lavrpack.ru/catalog/?product=1294861b-903c-11ee-a8ad-00e01a6800eb%23a278d4cb-903c-11ee-a8ad-00e01a6800eb" TargetMode="External"/><Relationship Id="rId_hyperlink_72" Type="http://schemas.openxmlformats.org/officeDocument/2006/relationships/hyperlink" Target="https://www.test.lavrpack.ru/catalog/?product=1294861b-903c-11ee-a8ad-00e01a6800eb%237fad778a-903c-11ee-a8ad-00e01a6800eb" TargetMode="External"/><Relationship Id="rId_hyperlink_73" Type="http://schemas.openxmlformats.org/officeDocument/2006/relationships/hyperlink" Target="https://www.test.lavrpack.ru/catalog/?product=1294861b-903c-11ee-a8ad-00e01a6800eb%2332427660-903c-11ee-a8ad-00e01a6800eb" TargetMode="External"/><Relationship Id="rId_hyperlink_74" Type="http://schemas.openxmlformats.org/officeDocument/2006/relationships/hyperlink" Target="https://www.test.lavrpack.ru/catalog/?product=1294861b-903c-11ee-a8ad-00e01a6800eb%23dd4df538-903d-11ee-a8ad-00e01a6800eb" TargetMode="External"/><Relationship Id="rId_hyperlink_75" Type="http://schemas.openxmlformats.org/officeDocument/2006/relationships/hyperlink" Target="https://www.test.lavrpack.ru/catalog/?product=1294861b-903c-11ee-a8ad-00e01a6800eb%2379645550-903c-11ee-a8ad-00e01a6800eb" TargetMode="External"/><Relationship Id="rId_hyperlink_76" Type="http://schemas.openxmlformats.org/officeDocument/2006/relationships/hyperlink" Target="https://www.test.lavrpack.ru/catalog/?product=1294861b-903c-11ee-a8ad-00e01a6800eb%23a87f508b-903c-11ee-a8ad-00e01a6800eb" TargetMode="External"/><Relationship Id="rId_hyperlink_77" Type="http://schemas.openxmlformats.org/officeDocument/2006/relationships/hyperlink" Target="https://www.test.lavrpack.ru/catalog/?product=1294861b-903c-11ee-a8ad-00e01a6800eb%23d9126523-903c-11ee-a8ad-00e01a6800eb" TargetMode="External"/><Relationship Id="rId_hyperlink_78" Type="http://schemas.openxmlformats.org/officeDocument/2006/relationships/hyperlink" Target="https://www.test.lavrpack.ru/catalog/?product=1294861b-903c-11ee-a8ad-00e01a6800eb%23c43e5b3d-903c-11ee-a8ad-00e01a6800eb" TargetMode="External"/><Relationship Id="rId_hyperlink_79" Type="http://schemas.openxmlformats.org/officeDocument/2006/relationships/hyperlink" Target="https://www.test.lavrpack.ru/catalog/?product=1294861b-903c-11ee-a8ad-00e01a6800eb%23f7f8dfd5-903d-11ee-a8ad-00e01a6800eb" TargetMode="External"/><Relationship Id="rId_hyperlink_80" Type="http://schemas.openxmlformats.org/officeDocument/2006/relationships/hyperlink" Target="https://www.test.lavrpack.ru/catalog/?product=1294861b-903c-11ee-a8ad-00e01a6800eb%23f120eb1b-903d-11ee-a8ad-00e01a6800eb" TargetMode="External"/><Relationship Id="rId_hyperlink_81" Type="http://schemas.openxmlformats.org/officeDocument/2006/relationships/hyperlink" Target="https://www.test.lavrpack.ru/catalog/?product=1294861b-903c-11ee-a8ad-00e01a6800eb%2390b8b1e0-903c-11ee-a8ad-00e01a6800eb" TargetMode="External"/><Relationship Id="rId_hyperlink_82" Type="http://schemas.openxmlformats.org/officeDocument/2006/relationships/hyperlink" Target="https://www.test.lavrpack.ru/catalog/?product=1294861b-903c-11ee-a8ad-00e01a6800eb%23ea7891bb-903d-11ee-a8ad-00e01a6800eb" TargetMode="External"/><Relationship Id="rId_hyperlink_83" Type="http://schemas.openxmlformats.org/officeDocument/2006/relationships/hyperlink" Target="https://www.test.lavrpack.ru/catalog/?product=1294861b-903c-11ee-a8ad-00e01a6800eb%23701a569f-903c-11ee-a8ad-00e01a6800eb" TargetMode="External"/><Relationship Id="rId_hyperlink_84" Type="http://schemas.openxmlformats.org/officeDocument/2006/relationships/hyperlink" Target="https://www.test.lavrpack.ru/catalog/?product=1294861b-903c-11ee-a8ad-00e01a6800eb%238661b7af-903c-11ee-a8ad-00e01a6800eb" TargetMode="External"/><Relationship Id="rId_hyperlink_85" Type="http://schemas.openxmlformats.org/officeDocument/2006/relationships/hyperlink" Target="https://www.test.lavrpack.ru/catalog/?product=1294861b-903c-11ee-a8ad-00e01a6800eb%232a350eb3-903c-11ee-a8ad-00e01a6800eb" TargetMode="External"/><Relationship Id="rId_hyperlink_86" Type="http://schemas.openxmlformats.org/officeDocument/2006/relationships/hyperlink" Target="https://www.test.lavrpack.ru/catalog/?product=1294861b-903c-11ee-a8ad-00e01a6800eb%232328bba3-903c-11ee-a8ad-00e01a6800eb" TargetMode="External"/><Relationship Id="rId_hyperlink_87" Type="http://schemas.openxmlformats.org/officeDocument/2006/relationships/hyperlink" Target="https://www.test.lavrpack.ru/catalog/?product=1294861b-903c-11ee-a8ad-00e01a6800eb%23398a4bd7-903c-11ee-a8ad-00e01a6800eb" TargetMode="External"/><Relationship Id="rId_hyperlink_88" Type="http://schemas.openxmlformats.org/officeDocument/2006/relationships/hyperlink" Target="https://www.test.lavrpack.ru/catalog/?product=1294861b-903c-11ee-a8ad-00e01a6800eb%23bdfebe78-903c-11ee-a8ad-00e01a6800eb" TargetMode="External"/><Relationship Id="rId_hyperlink_89" Type="http://schemas.openxmlformats.org/officeDocument/2006/relationships/hyperlink" Target="https://www.test.lavrpack.ru/catalog/?product=1294861b-903c-11ee-a8ad-00e01a6800eb%23e47dfceb-903d-11ee-a8ad-00e01a6800eb" TargetMode="External"/><Relationship Id="rId_hyperlink_90" Type="http://schemas.openxmlformats.org/officeDocument/2006/relationships/hyperlink" Target="https://www.test.lavrpack.ru/catalog/?product=1294861b-903c-11ee-a8ad-00e01a6800eb%23696d3a9a-903c-11ee-a8ad-00e01a6800eb" TargetMode="External"/><Relationship Id="rId_hyperlink_91" Type="http://schemas.openxmlformats.org/officeDocument/2006/relationships/hyperlink" Target="https://www.test.lavrpack.ru/catalog/?product=1294861b-903c-11ee-a8ad-00e01a6800eb%23dd4df528-903d-11ee-a8ad-00e01a6800eb" TargetMode="External"/><Relationship Id="rId_hyperlink_92" Type="http://schemas.openxmlformats.org/officeDocument/2006/relationships/hyperlink" Target="https://www.test.lavrpack.ru/catalog/?product=6c028fa5-9040-11ee-a8ad-00e01a6800eb%23ddf870c3-9040-11ee-a8ad-00e01a6800eb" TargetMode="External"/><Relationship Id="rId_hyperlink_93" Type="http://schemas.openxmlformats.org/officeDocument/2006/relationships/hyperlink" Target="https://www.test.lavrpack.ru/catalog/?product=6c028fa5-9040-11ee-a8ad-00e01a6800eb%23e4baf92a-9040-11ee-a8ad-00e01a6800eb" TargetMode="External"/><Relationship Id="rId_hyperlink_94" Type="http://schemas.openxmlformats.org/officeDocument/2006/relationships/hyperlink" Target="https://www.test.lavrpack.ru/catalog/?product=6c028fa5-9040-11ee-a8ad-00e01a6800eb%2393232e26-9040-11ee-a8ad-00e01a6800eb" TargetMode="External"/><Relationship Id="rId_hyperlink_95" Type="http://schemas.openxmlformats.org/officeDocument/2006/relationships/hyperlink" Target="https://www.test.lavrpack.ru/catalog/?product=6c028fa5-9040-11ee-a8ad-00e01a6800eb%239a3906b7-9040-11ee-a8ad-00e01a6800eb" TargetMode="External"/><Relationship Id="rId_hyperlink_96" Type="http://schemas.openxmlformats.org/officeDocument/2006/relationships/hyperlink" Target="https://www.test.lavrpack.ru/catalog/?product=6c028fa5-9040-11ee-a8ad-00e01a6800eb%23cf1efb2d-9040-11ee-a8ad-00e01a6800eb" TargetMode="External"/><Relationship Id="rId_hyperlink_97" Type="http://schemas.openxmlformats.org/officeDocument/2006/relationships/hyperlink" Target="https://www.test.lavrpack.ru/catalog/?product=6c028fa5-9040-11ee-a8ad-00e01a6800eb%23e3482078-9041-11ee-a8ad-00e01a6800eb" TargetMode="External"/><Relationship Id="rId_hyperlink_98" Type="http://schemas.openxmlformats.org/officeDocument/2006/relationships/hyperlink" Target="https://www.test.lavrpack.ru/catalog/?product=6c028fa5-9040-11ee-a8ad-00e01a6800eb%23dbe61bde-9041-11ee-a8ad-00e01a6800eb" TargetMode="External"/><Relationship Id="rId_hyperlink_99" Type="http://schemas.openxmlformats.org/officeDocument/2006/relationships/hyperlink" Target="https://www.test.lavrpack.ru/catalog/?product=6c028fa5-9040-11ee-a8ad-00e01a6800eb%23c42dc583-9041-11ee-a8ad-00e01a6800eb" TargetMode="External"/><Relationship Id="rId_hyperlink_100" Type="http://schemas.openxmlformats.org/officeDocument/2006/relationships/hyperlink" Target="https://www.test.lavrpack.ru/catalog/?product=6c028fa5-9040-11ee-a8ad-00e01a6800eb%239f923c08-9041-11ee-a8ad-00e01a6800eb" TargetMode="External"/><Relationship Id="rId_hyperlink_101" Type="http://schemas.openxmlformats.org/officeDocument/2006/relationships/hyperlink" Target="https://www.test.lavrpack.ru/catalog/?product=6c028fa5-9040-11ee-a8ad-00e01a6800eb%23d5e73655-10f9-11ef-9f05-00e01a6800eb" TargetMode="External"/><Relationship Id="rId_hyperlink_102" Type="http://schemas.openxmlformats.org/officeDocument/2006/relationships/hyperlink" Target="https://www.test.lavrpack.ru/catalog/?product=6c028fa5-9040-11ee-a8ad-00e01a6800eb%23be45bdbd-9040-11ee-a8ad-00e01a6800eb" TargetMode="External"/><Relationship Id="rId_hyperlink_103" Type="http://schemas.openxmlformats.org/officeDocument/2006/relationships/hyperlink" Target="https://www.test.lavrpack.ru/catalog/?product=6c028fa5-9040-11ee-a8ad-00e01a6800eb%23caa421e1-9041-11ee-a8ad-00e01a6800eb" TargetMode="External"/><Relationship Id="rId_hyperlink_104" Type="http://schemas.openxmlformats.org/officeDocument/2006/relationships/hyperlink" Target="https://www.test.lavrpack.ru/catalog/?product=6c028fa5-9040-11ee-a8ad-00e01a6800eb%2356860195-9041-11ee-a8ad-00e01a6800eb" TargetMode="External"/><Relationship Id="rId_hyperlink_105" Type="http://schemas.openxmlformats.org/officeDocument/2006/relationships/hyperlink" Target="https://www.test.lavrpack.ru/catalog/?product=6c028fa5-9040-11ee-a8ad-00e01a6800eb%23aa11ad81-9041-11ee-a8ad-00e01a6800eb" TargetMode="External"/><Relationship Id="rId_hyperlink_106" Type="http://schemas.openxmlformats.org/officeDocument/2006/relationships/hyperlink" Target="https://www.test.lavrpack.ru/catalog/?product=6c028fa5-9040-11ee-a8ad-00e01a6800eb%23d24b2e63-9041-11ee-a8ad-00e01a6800eb" TargetMode="External"/><Relationship Id="rId_hyperlink_107" Type="http://schemas.openxmlformats.org/officeDocument/2006/relationships/hyperlink" Target="https://www.test.lavrpack.ru/catalog/?product=6c028fa5-9040-11ee-a8ad-00e01a6800eb%236c030d9d-9041-11ee-a8ad-00e01a6800eb" TargetMode="External"/><Relationship Id="rId_hyperlink_108" Type="http://schemas.openxmlformats.org/officeDocument/2006/relationships/hyperlink" Target="https://www.test.lavrpack.ru/catalog/?product=6c028fa5-9040-11ee-a8ad-00e01a6800eb%23a0b68736-9040-11ee-a8ad-00e01a6800eb" TargetMode="External"/><Relationship Id="rId_hyperlink_109" Type="http://schemas.openxmlformats.org/officeDocument/2006/relationships/hyperlink" Target="https://www.test.lavrpack.ru/catalog/?product=6c028fa5-9040-11ee-a8ad-00e01a6800eb%231a2afd71-9041-11ee-a8ad-00e01a6800eb" TargetMode="External"/><Relationship Id="rId_hyperlink_110" Type="http://schemas.openxmlformats.org/officeDocument/2006/relationships/hyperlink" Target="https://www.test.lavrpack.ru/catalog/?product=6c028fa5-9040-11ee-a8ad-00e01a6800eb%2363d9156c-9041-11ee-a8ad-00e01a6800eb" TargetMode="External"/><Relationship Id="rId_hyperlink_111" Type="http://schemas.openxmlformats.org/officeDocument/2006/relationships/hyperlink" Target="https://www.test.lavrpack.ru/catalog/?product=6c028fa5-9040-11ee-a8ad-00e01a6800eb%23a789b93f-9040-11ee-a8ad-00e01a6800eb" TargetMode="External"/><Relationship Id="rId_hyperlink_112" Type="http://schemas.openxmlformats.org/officeDocument/2006/relationships/hyperlink" Target="https://www.test.lavrpack.ru/catalog/?product=6c028fa5-9040-11ee-a8ad-00e01a6800eb%23c75b5e29-9040-11ee-a8ad-00e01a6800eb" TargetMode="External"/><Relationship Id="rId_hyperlink_113" Type="http://schemas.openxmlformats.org/officeDocument/2006/relationships/hyperlink" Target="https://www.test.lavrpack.ru/catalog/?product=6c028fa5-9040-11ee-a8ad-00e01a6800eb%23d6e29832-9040-11ee-a8ad-00e01a6800eb" TargetMode="External"/><Relationship Id="rId_hyperlink_114" Type="http://schemas.openxmlformats.org/officeDocument/2006/relationships/hyperlink" Target="https://www.test.lavrpack.ru/catalog/?product=deebd6d1-06da-11ee-90e0-00e01a6800eb" TargetMode="External"/><Relationship Id="rId_hyperlink_115" Type="http://schemas.openxmlformats.org/officeDocument/2006/relationships/hyperlink" Target="https://www.test.lavrpack.ru/catalog/?product=60d7d15d-bb23-11ec-bc66-00e01a6800eb" TargetMode="External"/><Relationship Id="rId_hyperlink_116" Type="http://schemas.openxmlformats.org/officeDocument/2006/relationships/hyperlink" Target="https://www.test.lavrpack.ru/catalog/?product=64d0576e-bb26-11ec-bc66-00e01a6800eb" TargetMode="External"/><Relationship Id="rId_hyperlink_117" Type="http://schemas.openxmlformats.org/officeDocument/2006/relationships/hyperlink" Target="https://www.test.lavrpack.ru/catalog/?product=1e0f3839-c539-11ec-bc66-00e01a6800eb" TargetMode="External"/><Relationship Id="rId_hyperlink_118" Type="http://schemas.openxmlformats.org/officeDocument/2006/relationships/hyperlink" Target="https://www.test.lavrpack.ru/catalog/?product=fd269041-c537-11ec-bc66-00e01a6800eb" TargetMode="External"/><Relationship Id="rId_hyperlink_119" Type="http://schemas.openxmlformats.org/officeDocument/2006/relationships/hyperlink" Target="https://www.test.lavrpack.ru/catalog/?product=5a3a1f7b-bb24-11ec-bc66-00e01a6800eb" TargetMode="External"/><Relationship Id="rId_hyperlink_120" Type="http://schemas.openxmlformats.org/officeDocument/2006/relationships/hyperlink" Target="https://www.test.lavrpack.ru/catalog/?product=1036d612-bb23-11ec-bc66-00e01a6800eb" TargetMode="External"/><Relationship Id="rId_hyperlink_121" Type="http://schemas.openxmlformats.org/officeDocument/2006/relationships/hyperlink" Target="https://www.test.lavrpack.ru/catalog/?product=7ab3276a-bb23-11ec-bc66-00e01a6800eb" TargetMode="External"/><Relationship Id="rId_hyperlink_122" Type="http://schemas.openxmlformats.org/officeDocument/2006/relationships/hyperlink" Target="https://www.test.lavrpack.ru/catalog/?product=d281eda7-532a-11ee-bc2f-00e01a6800eb" TargetMode="External"/><Relationship Id="rId_hyperlink_123" Type="http://schemas.openxmlformats.org/officeDocument/2006/relationships/hyperlink" Target="https://www.test.lavrpack.ru/catalog/?product=46415f8e-bb24-11ec-bc66-00e01a6800eb" TargetMode="External"/><Relationship Id="rId_hyperlink_124" Type="http://schemas.openxmlformats.org/officeDocument/2006/relationships/hyperlink" Target="https://www.test.lavrpack.ru/catalog/?product=eabfa9dc-c537-11ec-bc66-00e01a6800eb" TargetMode="External"/><Relationship Id="rId_hyperlink_125" Type="http://schemas.openxmlformats.org/officeDocument/2006/relationships/hyperlink" Target="https://www.test.lavrpack.ru/catalog/?product=ff46a694-bb22-11ec-bc66-00e01a6800eb" TargetMode="External"/><Relationship Id="rId_hyperlink_126" Type="http://schemas.openxmlformats.org/officeDocument/2006/relationships/hyperlink" Target="https://www.test.lavrpack.ru/catalog/?product=20071268-bb23-11ec-bc66-00e01a6800eb" TargetMode="External"/><Relationship Id="rId_hyperlink_127" Type="http://schemas.openxmlformats.org/officeDocument/2006/relationships/hyperlink" Target="https://www.test.lavrpack.ru/catalog/?product=2a34544a-bb24-11ec-bc66-00e01a6800eb" TargetMode="External"/><Relationship Id="rId_hyperlink_128" Type="http://schemas.openxmlformats.org/officeDocument/2006/relationships/hyperlink" Target="https://www.test.lavrpack.ru/catalog/?product=532b2e57-532b-11ee-bc2f-00e01a6800eb" TargetMode="External"/><Relationship Id="rId_hyperlink_129" Type="http://schemas.openxmlformats.org/officeDocument/2006/relationships/hyperlink" Target="https://www.test.lavrpack.ru/catalog/?product=eda17ba6-532a-11ee-bc2f-00e01a6800eb" TargetMode="External"/><Relationship Id="rId_hyperlink_130" Type="http://schemas.openxmlformats.org/officeDocument/2006/relationships/hyperlink" Target="https://www.test.lavrpack.ru/catalog/?product=1a26bfdc-bb24-11ec-bc66-00e01a6800eb" TargetMode="External"/><Relationship Id="rId_hyperlink_131" Type="http://schemas.openxmlformats.org/officeDocument/2006/relationships/hyperlink" Target="https://www.test.lavrpack.ru/catalog/?product=da45c912-bb27-11ec-bc66-00e01a6800eb" TargetMode="External"/><Relationship Id="rId_hyperlink_132" Type="http://schemas.openxmlformats.org/officeDocument/2006/relationships/hyperlink" Target="https://www.test.lavrpack.ru/catalog/?product=1cd6c789-c53d-11ec-bc66-00e01a6800eb" TargetMode="External"/><Relationship Id="rId_hyperlink_133" Type="http://schemas.openxmlformats.org/officeDocument/2006/relationships/hyperlink" Target="https://www.test.lavrpack.ru/catalog/?product=2d704b12-bb25-11ec-bc66-00e01a6800eb" TargetMode="External"/><Relationship Id="rId_hyperlink_134" Type="http://schemas.openxmlformats.org/officeDocument/2006/relationships/hyperlink" Target="https://www.test.lavrpack.ru/catalog/?product=3f8a3574-532b-11ee-bc2f-00e01a6800eb" TargetMode="External"/><Relationship Id="rId_hyperlink_135" Type="http://schemas.openxmlformats.org/officeDocument/2006/relationships/hyperlink" Target="https://www.test.lavrpack.ru/catalog/?product=eb249ffa-bb25-11ec-bc66-00e01a6800eb" TargetMode="External"/><Relationship Id="rId_hyperlink_136" Type="http://schemas.openxmlformats.org/officeDocument/2006/relationships/hyperlink" Target="https://www.test.lavrpack.ru/catalog/?product=c284841d-7f2d-11ec-b73f-0018e40a3af2%23586c0940-618e-11ed-bb4b-00e01a6800eb" TargetMode="External"/><Relationship Id="rId_hyperlink_137" Type="http://schemas.openxmlformats.org/officeDocument/2006/relationships/hyperlink" Target="https://www.test.lavrpack.ru/catalog/?product=c284841d-7f2d-11ec-b73f-0018e40a3af2%239cc8086a-0ba2-11ef-9f05-00e01a6800eb" TargetMode="External"/><Relationship Id="rId_hyperlink_138" Type="http://schemas.openxmlformats.org/officeDocument/2006/relationships/hyperlink" Target="https://www.test.lavrpack.ru/catalog/?product=c284841d-7f2d-11ec-b73f-0018e40a3af2%2349127e1b-6658-11ed-bb4b-00e01a6800eb" TargetMode="External"/><Relationship Id="rId_hyperlink_139" Type="http://schemas.openxmlformats.org/officeDocument/2006/relationships/hyperlink" Target="https://www.test.lavrpack.ru/catalog/?product=c284841d-7f2d-11ec-b73f-0018e40a3af2%23accde95c-0ba3-11ef-9f05-00e01a6800eb" TargetMode="External"/><Relationship Id="rId_hyperlink_140" Type="http://schemas.openxmlformats.org/officeDocument/2006/relationships/hyperlink" Target="https://www.test.lavrpack.ru/catalog/?product=c284841d-7f2d-11ec-b73f-0018e40a3af2%2385346199-618e-11ed-bb4b-00e01a6800eb" TargetMode="External"/><Relationship Id="rId_hyperlink_141" Type="http://schemas.openxmlformats.org/officeDocument/2006/relationships/hyperlink" Target="https://www.test.lavrpack.ru/catalog/?product=c284841d-7f2d-11ec-b73f-0018e40a3af2%23429e0e5d-618e-11ed-bb4b-00e01a6800eb" TargetMode="External"/><Relationship Id="rId_hyperlink_142" Type="http://schemas.openxmlformats.org/officeDocument/2006/relationships/hyperlink" Target="https://www.test.lavrpack.ru/catalog/?product=c284841d-7f2d-11ec-b73f-0018e40a3af2%238237cb02-0ba3-11ef-9f05-00e01a6800eb" TargetMode="External"/><Relationship Id="rId_hyperlink_143" Type="http://schemas.openxmlformats.org/officeDocument/2006/relationships/hyperlink" Target="https://www.test.lavrpack.ru/catalog/?product=c284841d-7f2d-11ec-b73f-0018e40a3af2%234aab760b-618e-11ed-bb4b-00e01a6800eb" TargetMode="External"/><Relationship Id="rId_hyperlink_144" Type="http://schemas.openxmlformats.org/officeDocument/2006/relationships/hyperlink" Target="https://www.test.lavrpack.ru/catalog/?product=c284841d-7f2d-11ec-b73f-0018e40a3af2%23311fb62f-6658-11ed-bb4b-00e01a6800eb" TargetMode="External"/><Relationship Id="rId_hyperlink_145" Type="http://schemas.openxmlformats.org/officeDocument/2006/relationships/hyperlink" Target="https://www.test.lavrpack.ru/catalog/?product=c284841d-7f2d-11ec-b73f-0018e40a3af2%234bfb7e78-7bc7-11ef-ab51-1cfd08767542" TargetMode="External"/><Relationship Id="rId_hyperlink_146" Type="http://schemas.openxmlformats.org/officeDocument/2006/relationships/hyperlink" Target="https://www.test.lavrpack.ru/catalog/?product=c284841d-7f2d-11ec-b73f-0018e40a3af2%236567ed9d-6658-11ed-bb4b-00e01a6800eb" TargetMode="External"/><Relationship Id="rId_hyperlink_147" Type="http://schemas.openxmlformats.org/officeDocument/2006/relationships/hyperlink" Target="https://www.test.lavrpack.ru/catalog/?product=c284841d-7f2d-11ec-b73f-0018e40a3af2%232e3521f3-618e-11ed-bb4b-00e01a6800eb" TargetMode="External"/><Relationship Id="rId_hyperlink_148" Type="http://schemas.openxmlformats.org/officeDocument/2006/relationships/hyperlink" Target="https://www.test.lavrpack.ru/catalog/?product=c284841d-7f2d-11ec-b73f-0018e40a3af2%23d2fee7ee-618e-11ed-bb4b-00e01a6800eb" TargetMode="External"/><Relationship Id="rId_hyperlink_149" Type="http://schemas.openxmlformats.org/officeDocument/2006/relationships/hyperlink" Target="https://www.test.lavrpack.ru/catalog/?product=c284841d-7f2d-11ec-b73f-0018e40a3af2%23569fede8-6658-11ed-bb4b-00e01a6800eb" TargetMode="External"/><Relationship Id="rId_hyperlink_150" Type="http://schemas.openxmlformats.org/officeDocument/2006/relationships/hyperlink" Target="https://www.test.lavrpack.ru/catalog/?product=c284841d-7f2d-11ec-b73f-0018e40a3af2%23ec57f678-6657-11ed-bb4b-00e01a6800eb" TargetMode="External"/><Relationship Id="rId_hyperlink_151" Type="http://schemas.openxmlformats.org/officeDocument/2006/relationships/hyperlink" Target="https://www.test.lavrpack.ru/catalog/?product=c284841d-7f2d-11ec-b73f-0018e40a3af2%23fcb74b94-aee4-11ee-a8ad-00e01a6800eb" TargetMode="External"/><Relationship Id="rId_hyperlink_152" Type="http://schemas.openxmlformats.org/officeDocument/2006/relationships/hyperlink" Target="https://www.test.lavrpack.ru/catalog/?product=c284841d-7f2d-11ec-b73f-0018e40a3af2%23761d084c-618e-11ed-bb4b-00e01a6800eb" TargetMode="External"/><Relationship Id="rId_hyperlink_153" Type="http://schemas.openxmlformats.org/officeDocument/2006/relationships/hyperlink" Target="https://www.test.lavrpack.ru/catalog/?product=c284841d-7f2d-11ec-b73f-0018e40a3af2%23825752f8-6b22-11ed-bb4b-00e01a6800eb" TargetMode="External"/><Relationship Id="rId_hyperlink_154" Type="http://schemas.openxmlformats.org/officeDocument/2006/relationships/hyperlink" Target="https://www.test.lavrpack.ru/catalog/?product=c284841d-7f2d-11ec-b73f-0018e40a3af2%237b8c9265-0ba2-11ef-9f05-00e01a6800eb" TargetMode="External"/><Relationship Id="rId_hyperlink_155" Type="http://schemas.openxmlformats.org/officeDocument/2006/relationships/hyperlink" Target="https://www.test.lavrpack.ru/catalog/?product=c284841d-7f2d-11ec-b73f-0018e40a3af2%23da9cfd9f-6657-11ed-bb4b-00e01a6800eb" TargetMode="External"/><Relationship Id="rId_hyperlink_156" Type="http://schemas.openxmlformats.org/officeDocument/2006/relationships/hyperlink" Target="https://www.test.lavrpack.ru/catalog/?product=c284841d-7f2d-11ec-b73f-0018e40a3af2%2352cbe10c-0ba3-11ef-9f05-00e01a6800eb" TargetMode="External"/><Relationship Id="rId_hyperlink_157" Type="http://schemas.openxmlformats.org/officeDocument/2006/relationships/hyperlink" Target="https://www.test.lavrpack.ru/catalog/?product=c284841d-7f2d-11ec-b73f-0018e40a3af2%23129c1fb3-bc1a-11ed-ba70-00e01a6800eb" TargetMode="External"/><Relationship Id="rId_hyperlink_158" Type="http://schemas.openxmlformats.org/officeDocument/2006/relationships/hyperlink" Target="https://www.test.lavrpack.ru/catalog/?product=c284841d-7f2d-11ec-b73f-0018e40a3af2%23032cb9b3-0ba3-11ef-9f05-00e01a6800eb" TargetMode="External"/><Relationship Id="rId_hyperlink_159" Type="http://schemas.openxmlformats.org/officeDocument/2006/relationships/hyperlink" Target="https://www.test.lavrpack.ru/catalog/?product=c284841d-7f2d-11ec-b73f-0018e40a3af2%2368d56603-618e-11ed-bb4b-00e01a6800eb" TargetMode="External"/><Relationship Id="rId_hyperlink_160" Type="http://schemas.openxmlformats.org/officeDocument/2006/relationships/hyperlink" Target="https://www.test.lavrpack.ru/catalog/?product=c284841d-7f2d-11ec-b73f-0018e40a3af2%232cb55ea3-0ba2-11ef-9f05-00e01a6800eb" TargetMode="External"/><Relationship Id="rId_hyperlink_161" Type="http://schemas.openxmlformats.org/officeDocument/2006/relationships/hyperlink" Target="https://www.test.lavrpack.ru/catalog/?product=c284841d-7f2d-11ec-b73f-0018e40a3af2%2350c4fcbe-618e-11ed-bb4b-00e01a6800eb" TargetMode="External"/><Relationship Id="rId_hyperlink_162" Type="http://schemas.openxmlformats.org/officeDocument/2006/relationships/hyperlink" Target="https://www.test.lavrpack.ru/catalog/?product=c89a93de-7f2d-11ec-b73f-0018e40a3af2%234cc7fdfd-d3f9-11f0-ab4d-22344d083d2c" TargetMode="External"/><Relationship Id="rId_hyperlink_163" Type="http://schemas.openxmlformats.org/officeDocument/2006/relationships/hyperlink" Target="https://www.test.lavrpack.ru/catalog/?product=c89a93de-7f2d-11ec-b73f-0018e40a3af2%2365e67b64-d3f9-11f0-ab4d-22344d083d2c" TargetMode="External"/><Relationship Id="rId_hyperlink_164" Type="http://schemas.openxmlformats.org/officeDocument/2006/relationships/hyperlink" Target="https://www.test.lavrpack.ru/catalog/?product=c89a93de-7f2d-11ec-b73f-0018e40a3af2%237c41f29c-bc1a-11ed-ba70-00e01a6800eb" TargetMode="External"/><Relationship Id="rId_hyperlink_165" Type="http://schemas.openxmlformats.org/officeDocument/2006/relationships/hyperlink" Target="https://www.test.lavrpack.ru/catalog/?product=c89a93de-7f2d-11ec-b73f-0018e40a3af2%235325f4a2-d3f9-11f0-ab4d-22344d083d2c" TargetMode="External"/><Relationship Id="rId_hyperlink_166" Type="http://schemas.openxmlformats.org/officeDocument/2006/relationships/hyperlink" Target="https://www.test.lavrpack.ru/catalog/?product=c89a93de-7f2d-11ec-b73f-0018e40a3af2%237622a084-d3f9-11f0-ab4d-22344d083d2c" TargetMode="External"/><Relationship Id="rId_hyperlink_167" Type="http://schemas.openxmlformats.org/officeDocument/2006/relationships/hyperlink" Target="https://www.test.lavrpack.ru/catalog/?product=c89a93de-7f2d-11ec-b73f-0018e40a3af2%234072a55c-d3f9-11f0-ab4d-22344d083d2c" TargetMode="External"/><Relationship Id="rId_hyperlink_168" Type="http://schemas.openxmlformats.org/officeDocument/2006/relationships/hyperlink" Target="https://www.test.lavrpack.ru/catalog/?product=c89a93de-7f2d-11ec-b73f-0018e40a3af2%237ca11311-d3f9-11f0-ab4d-22344d083d2c" TargetMode="External"/><Relationship Id="rId_hyperlink_169" Type="http://schemas.openxmlformats.org/officeDocument/2006/relationships/hyperlink" Target="https://www.test.lavrpack.ru/catalog/?product=c89a93de-7f2d-11ec-b73f-0018e40a3af2%23a2d61fed-bc1a-11ed-ba70-00e01a6800eb" TargetMode="External"/><Relationship Id="rId_hyperlink_170" Type="http://schemas.openxmlformats.org/officeDocument/2006/relationships/hyperlink" Target="https://www.test.lavrpack.ru/catalog/?product=c89a93de-7f2d-11ec-b73f-0018e40a3af2%238383a44b-d3f9-11f0-ab4d-22344d083d2c" TargetMode="External"/><Relationship Id="rId_hyperlink_171" Type="http://schemas.openxmlformats.org/officeDocument/2006/relationships/hyperlink" Target="https://www.test.lavrpack.ru/catalog/?product=c89a93de-7f2d-11ec-b73f-0018e40a3af2%23923ac644-bc1a-11ed-ba70-00e01a6800eb" TargetMode="External"/><Relationship Id="rId_hyperlink_172" Type="http://schemas.openxmlformats.org/officeDocument/2006/relationships/hyperlink" Target="https://www.test.lavrpack.ru/catalog/?product=c89a93de-7f2d-11ec-b73f-0018e40a3af2%2312b393ef-6010-11f1-ab51-22344d083d2c" TargetMode="External"/><Relationship Id="rId_hyperlink_173" Type="http://schemas.openxmlformats.org/officeDocument/2006/relationships/hyperlink" Target="https://www.test.lavrpack.ru/catalog/?product=c89a93de-7f2d-11ec-b73f-0018e40a3af2%236daae6f7-d3f9-11f0-ab4d-22344d083d2c" TargetMode="External"/><Relationship Id="rId_hyperlink_174" Type="http://schemas.openxmlformats.org/officeDocument/2006/relationships/hyperlink" Target="https://www.test.lavrpack.ru/catalog/?product=c89a93de-7f2d-11ec-b73f-0018e40a3af2%2338916153-d3f9-11f0-ab4d-22344d083d2c" TargetMode="External"/><Relationship Id="rId_hyperlink_175" Type="http://schemas.openxmlformats.org/officeDocument/2006/relationships/hyperlink" Target="https://www.test.lavrpack.ru/catalog/?product=c89a93de-7f2d-11ec-b73f-0018e40a3af2%235f6bfba4-d3f9-11f0-ab4d-22344d083d2c" TargetMode="External"/><Relationship Id="rId_hyperlink_176" Type="http://schemas.openxmlformats.org/officeDocument/2006/relationships/hyperlink" Target="https://www.test.lavrpack.ru/catalog/?product=c89a93de-7f2d-11ec-b73f-0018e40a3af2%23bb0538b8-633d-11f1-ab51-22344d083d2c" TargetMode="External"/><Relationship Id="rId_hyperlink_177" Type="http://schemas.openxmlformats.org/officeDocument/2006/relationships/hyperlink" Target="https://www.test.lavrpack.ru/catalog/?product=c89a93de-7f2d-11ec-b73f-0018e40a3af2%235cf1634d-6198-11ed-bb4b-00e01a6800eb" TargetMode="External"/><Relationship Id="rId_hyperlink_178" Type="http://schemas.openxmlformats.org/officeDocument/2006/relationships/hyperlink" Target="https://www.test.lavrpack.ru/catalog/?product=c89a93de-7f2d-11ec-b73f-0018e40a3af2%234b7d6c6b-6198-11ed-bb4b-00e01a6800eb" TargetMode="External"/><Relationship Id="rId_hyperlink_179" Type="http://schemas.openxmlformats.org/officeDocument/2006/relationships/hyperlink" Target="https://www.test.lavrpack.ru/catalog/?product=c89a93de-7f2d-11ec-b73f-0018e40a3af2%23aae7a136-d3f9-11f0-ab4d-22344d083d2c" TargetMode="External"/><Relationship Id="rId_hyperlink_180" Type="http://schemas.openxmlformats.org/officeDocument/2006/relationships/hyperlink" Target="https://www.test.lavrpack.ru/catalog/?product=c89a93de-7f2d-11ec-b73f-0018e40a3af2%237133aebf-bc1a-11ed-ba70-00e01a6800eb" TargetMode="External"/><Relationship Id="rId_hyperlink_181" Type="http://schemas.openxmlformats.org/officeDocument/2006/relationships/hyperlink" Target="https://www.test.lavrpack.ru/catalog/?product=454d5aae-dcc9-11ec-bc66-00e01a6800eb%23a95ada6c-9271-11ee-a8ad-00e01a6800eb" TargetMode="External"/><Relationship Id="rId_hyperlink_182" Type="http://schemas.openxmlformats.org/officeDocument/2006/relationships/hyperlink" Target="https://www.test.lavrpack.ru/catalog/?product=454d5aae-dcc9-11ec-bc66-00e01a6800eb%23b1d80fe2-bc1d-11ed-ba70-00e01a6800eb" TargetMode="External"/><Relationship Id="rId_hyperlink_183" Type="http://schemas.openxmlformats.org/officeDocument/2006/relationships/hyperlink" Target="https://www.test.lavrpack.ru/catalog/?product=454d5aae-dcc9-11ec-bc66-00e01a6800eb%234eef81d0-619b-11ed-bb4b-00e01a6800eb" TargetMode="External"/><Relationship Id="rId_hyperlink_184" Type="http://schemas.openxmlformats.org/officeDocument/2006/relationships/hyperlink" Target="https://www.test.lavrpack.ru/catalog/?product=454d5aae-dcc9-11ec-bc66-00e01a6800eb%236b46e3f2-619b-11ed-bb4b-00e01a6800eb" TargetMode="External"/><Relationship Id="rId_hyperlink_185" Type="http://schemas.openxmlformats.org/officeDocument/2006/relationships/hyperlink" Target="https://www.test.lavrpack.ru/catalog/?product=454d5aae-dcc9-11ec-bc66-00e01a6800eb%238702642f-665c-11ed-bb4b-00e01a6800eb" TargetMode="External"/><Relationship Id="rId_hyperlink_186" Type="http://schemas.openxmlformats.org/officeDocument/2006/relationships/hyperlink" Target="https://www.test.lavrpack.ru/catalog/?product=454d5aae-dcc9-11ec-bc66-00e01a6800eb%2307bc86e6-bc1c-11ed-ba70-00e01a6800eb" TargetMode="External"/><Relationship Id="rId_hyperlink_187" Type="http://schemas.openxmlformats.org/officeDocument/2006/relationships/hyperlink" Target="https://www.test.lavrpack.ru/catalog/?product=454d5aae-dcc9-11ec-bc66-00e01a6800eb%23bbf1393f-9271-11ee-a8ad-00e01a6800eb" TargetMode="External"/><Relationship Id="rId_hyperlink_188" Type="http://schemas.openxmlformats.org/officeDocument/2006/relationships/hyperlink" Target="https://www.test.lavrpack.ru/catalog/?product=454d5aae-dcc9-11ec-bc66-00e01a6800eb%2371b87d9f-619b-11ed-bb4b-00e01a6800eb" TargetMode="External"/><Relationship Id="rId_hyperlink_189" Type="http://schemas.openxmlformats.org/officeDocument/2006/relationships/hyperlink" Target="https://www.test.lavrpack.ru/catalog/?product=454d5aae-dcc9-11ec-bc66-00e01a6800eb%231669675c-bc1d-11ed-ba70-00e01a6800eb" TargetMode="External"/><Relationship Id="rId_hyperlink_190" Type="http://schemas.openxmlformats.org/officeDocument/2006/relationships/hyperlink" Target="https://www.test.lavrpack.ru/catalog/?product=454d5aae-dcc9-11ec-bc66-00e01a6800eb%23803cd9e6-090d-11ef-9f05-00e01a6800eb" TargetMode="External"/><Relationship Id="rId_hyperlink_191" Type="http://schemas.openxmlformats.org/officeDocument/2006/relationships/hyperlink" Target="https://www.test.lavrpack.ru/catalog/?product=454d5aae-dcc9-11ec-bc66-00e01a6800eb%235ea67e5a-64db-11ed-bb4b-00e01a6800eb" TargetMode="External"/><Relationship Id="rId_hyperlink_192" Type="http://schemas.openxmlformats.org/officeDocument/2006/relationships/hyperlink" Target="https://www.test.lavrpack.ru/catalog/?product=454d5aae-dcc9-11ec-bc66-00e01a6800eb%23b7a8108c-6659-11ed-bb4b-00e01a6800eb" TargetMode="External"/><Relationship Id="rId_hyperlink_193" Type="http://schemas.openxmlformats.org/officeDocument/2006/relationships/hyperlink" Target="https://www.test.lavrpack.ru/catalog/?product=454d5aae-dcc9-11ec-bc66-00e01a6800eb%23ca7b7de1-6b2d-11ed-bb4b-00e01a6800eb" TargetMode="External"/><Relationship Id="rId_hyperlink_194" Type="http://schemas.openxmlformats.org/officeDocument/2006/relationships/hyperlink" Target="https://www.test.lavrpack.ru/catalog/?product=454d5aae-dcc9-11ec-bc66-00e01a6800eb%2378e623e4-619b-11ed-bb4b-00e01a6800eb" TargetMode="External"/><Relationship Id="rId_hyperlink_195" Type="http://schemas.openxmlformats.org/officeDocument/2006/relationships/hyperlink" Target="https://www.test.lavrpack.ru/catalog/?product=454d5aae-dcc9-11ec-bc66-00e01a6800eb%230cca9e8c-619c-11ed-bb4b-00e01a6800eb" TargetMode="External"/><Relationship Id="rId_hyperlink_196" Type="http://schemas.openxmlformats.org/officeDocument/2006/relationships/hyperlink" Target="https://www.test.lavrpack.ru/catalog/?product=454d5aae-dcc9-11ec-bc66-00e01a6800eb%232a3bb0e3-665a-11ed-bb4b-00e01a6800eb" TargetMode="External"/><Relationship Id="rId_hyperlink_197" Type="http://schemas.openxmlformats.org/officeDocument/2006/relationships/hyperlink" Target="https://www.test.lavrpack.ru/catalog/?product=454d5aae-dcc9-11ec-bc66-00e01a6800eb%231cff98db-090e-11ef-9f05-00e01a6800eb" TargetMode="External"/><Relationship Id="rId_hyperlink_198" Type="http://schemas.openxmlformats.org/officeDocument/2006/relationships/hyperlink" Target="https://www.test.lavrpack.ru/catalog/?product=454d5aae-dcc9-11ec-bc66-00e01a6800eb%236dd812a1-bc1d-11ed-ba70-00e01a6800eb" TargetMode="External"/><Relationship Id="rId_hyperlink_199" Type="http://schemas.openxmlformats.org/officeDocument/2006/relationships/hyperlink" Target="https://www.test.lavrpack.ru/catalog/?product=454d5aae-dcc9-11ec-bc66-00e01a6800eb%2329a4ec90-619c-11ed-bb4b-00e01a6800eb" TargetMode="External"/><Relationship Id="rId_hyperlink_200" Type="http://schemas.openxmlformats.org/officeDocument/2006/relationships/hyperlink" Target="https://www.test.lavrpack.ru/catalog/?product=454d5aae-dcc9-11ec-bc66-00e01a6800eb%2334233e10-619d-11ed-bb4b-00e01a6800eb" TargetMode="External"/><Relationship Id="rId_hyperlink_201" Type="http://schemas.openxmlformats.org/officeDocument/2006/relationships/hyperlink" Target="https://www.test.lavrpack.ru/catalog/?product=454d5aae-dcc9-11ec-bc66-00e01a6800eb%238b566cc4-619b-11ed-bb4b-00e01a6800eb" TargetMode="External"/><Relationship Id="rId_hyperlink_202" Type="http://schemas.openxmlformats.org/officeDocument/2006/relationships/hyperlink" Target="https://www.test.lavrpack.ru/catalog/?product=454d5aae-dcc9-11ec-bc66-00e01a6800eb%239f13f61b-619b-11ed-bb4b-00e01a6800eb" TargetMode="External"/><Relationship Id="rId_hyperlink_203" Type="http://schemas.openxmlformats.org/officeDocument/2006/relationships/hyperlink" Target="https://www.test.lavrpack.ru/catalog/?product=454d5aae-dcc9-11ec-bc66-00e01a6800eb%2346054055-b293-11ed-ba70-00e01a6800eb" TargetMode="External"/><Relationship Id="rId_hyperlink_204" Type="http://schemas.openxmlformats.org/officeDocument/2006/relationships/hyperlink" Target="https://www.test.lavrpack.ru/catalog/?product=454d5aae-dcc9-11ec-bc66-00e01a6800eb%23c6e0ee64-64ee-11ed-bb4b-00e01a6800eb" TargetMode="External"/><Relationship Id="rId_hyperlink_205" Type="http://schemas.openxmlformats.org/officeDocument/2006/relationships/hyperlink" Target="https://www.test.lavrpack.ru/catalog/?product=454d5aae-dcc9-11ec-bc66-00e01a6800eb%23a8aed577-0b9d-11ef-9f05-00e01a6800eb" TargetMode="External"/><Relationship Id="rId_hyperlink_206" Type="http://schemas.openxmlformats.org/officeDocument/2006/relationships/hyperlink" Target="https://www.test.lavrpack.ru/catalog/?product=454d5aae-dcc9-11ec-bc66-00e01a6800eb%239edbef4b-619c-11ed-bb4b-00e01a6800eb" TargetMode="External"/><Relationship Id="rId_hyperlink_207" Type="http://schemas.openxmlformats.org/officeDocument/2006/relationships/hyperlink" Target="https://www.test.lavrpack.ru/catalog/?product=454d5aae-dcc9-11ec-bc66-00e01a6800eb%23fdff7159-619b-11ed-bb4b-00e01a6800eb" TargetMode="External"/><Relationship Id="rId_hyperlink_208" Type="http://schemas.openxmlformats.org/officeDocument/2006/relationships/hyperlink" Target="https://www.test.lavrpack.ru/catalog/?product=454d5aae-dcc9-11ec-bc66-00e01a6800eb%237fde5431-b293-11ed-ba70-00e01a6800eb" TargetMode="External"/><Relationship Id="rId_hyperlink_209" Type="http://schemas.openxmlformats.org/officeDocument/2006/relationships/hyperlink" Target="https://www.test.lavrpack.ru/catalog/?product=454d5aae-dcc9-11ec-bc66-00e01a6800eb%2381db67c3-64ee-11ed-bb4b-00e01a6800eb" TargetMode="External"/><Relationship Id="rId_hyperlink_210" Type="http://schemas.openxmlformats.org/officeDocument/2006/relationships/hyperlink" Target="https://www.test.lavrpack.ru/catalog/?product=454d5aae-dcc9-11ec-bc66-00e01a6800eb%23c00a8b67-619b-11ed-bb4b-00e01a6800eb" TargetMode="External"/><Relationship Id="rId_hyperlink_211" Type="http://schemas.openxmlformats.org/officeDocument/2006/relationships/hyperlink" Target="https://www.test.lavrpack.ru/catalog/?product=454d5aae-dcc9-11ec-bc66-00e01a6800eb%2342ce3404-090e-11ef-9f05-00e01a6800eb" TargetMode="External"/><Relationship Id="rId_hyperlink_212" Type="http://schemas.openxmlformats.org/officeDocument/2006/relationships/hyperlink" Target="https://www.test.lavrpack.ru/catalog/?product=454d5aae-dcc9-11ec-bc66-00e01a6800eb%23c9bb51e5-9271-11ee-a8ad-00e01a6800eb" TargetMode="External"/><Relationship Id="rId_hyperlink_213" Type="http://schemas.openxmlformats.org/officeDocument/2006/relationships/hyperlink" Target="https://www.test.lavrpack.ru/catalog/?product=454d5aae-dcc9-11ec-bc66-00e01a6800eb%23b68e5ad5-0b9d-11ef-9f05-00e01a6800eb" TargetMode="External"/><Relationship Id="rId_hyperlink_214" Type="http://schemas.openxmlformats.org/officeDocument/2006/relationships/hyperlink" Target="https://www.test.lavrpack.ru/catalog/?product=454d5aae-dcc9-11ec-bc66-00e01a6800eb%23cf930efe-b293-11ed-ba70-00e01a6800eb" TargetMode="External"/><Relationship Id="rId_hyperlink_215" Type="http://schemas.openxmlformats.org/officeDocument/2006/relationships/hyperlink" Target="https://www.test.lavrpack.ru/catalog/?product=454d5aae-dcc9-11ec-bc66-00e01a6800eb%23e3bae1f3-619b-11ed-bb4b-00e01a6800eb" TargetMode="External"/><Relationship Id="rId_hyperlink_216" Type="http://schemas.openxmlformats.org/officeDocument/2006/relationships/hyperlink" Target="https://www.test.lavrpack.ru/catalog/?product=454d5aae-dcc9-11ec-bc66-00e01a6800eb%238a45cd67-665b-11ed-bb4b-00e01a6800eb" TargetMode="External"/><Relationship Id="rId_hyperlink_217" Type="http://schemas.openxmlformats.org/officeDocument/2006/relationships/hyperlink" Target="https://www.test.lavrpack.ru/catalog/?product=454d5aae-dcc9-11ec-bc66-00e01a6800eb%23be56ba51-0b9d-11ef-9f05-00e01a6800eb" TargetMode="External"/><Relationship Id="rId_hyperlink_218" Type="http://schemas.openxmlformats.org/officeDocument/2006/relationships/hyperlink" Target="https://www.test.lavrpack.ru/catalog/?product=454d5aae-dcc9-11ec-bc66-00e01a6800eb%2308bd448c-619d-11ed-bb4b-00e01a6800eb" TargetMode="External"/><Relationship Id="rId_hyperlink_219" Type="http://schemas.openxmlformats.org/officeDocument/2006/relationships/hyperlink" Target="https://www.test.lavrpack.ru/catalog/?product=454d5aae-dcc9-11ec-bc66-00e01a6800eb%23a59d5d7b-619b-11ed-bb4b-00e01a6800eb" TargetMode="External"/><Relationship Id="rId_hyperlink_220" Type="http://schemas.openxmlformats.org/officeDocument/2006/relationships/hyperlink" Target="https://www.test.lavrpack.ru/catalog/?product=454d5aae-dcc9-11ec-bc66-00e01a6800eb%23b217d43b-619b-11ed-bb4b-00e01a6800eb" TargetMode="External"/><Relationship Id="rId_hyperlink_221" Type="http://schemas.openxmlformats.org/officeDocument/2006/relationships/hyperlink" Target="https://www.test.lavrpack.ru/catalog/?product=454d5aae-dcc9-11ec-bc66-00e01a6800eb%2313c352bc-b293-11ed-ba70-00e01a6800eb" TargetMode="External"/><Relationship Id="rId_hyperlink_222" Type="http://schemas.openxmlformats.org/officeDocument/2006/relationships/hyperlink" Target="https://www.test.lavrpack.ru/catalog/?product=454d5aae-dcc9-11ec-bc66-00e01a6800eb%234147d686-619c-11ed-bb4b-00e01a6800eb" TargetMode="External"/><Relationship Id="rId_hyperlink_223" Type="http://schemas.openxmlformats.org/officeDocument/2006/relationships/hyperlink" Target="https://www.test.lavrpack.ru/catalog/?product=454d5aae-dcc9-11ec-bc66-00e01a6800eb%23b93e566d-619b-11ed-bb4b-00e01a6800eb" TargetMode="External"/><Relationship Id="rId_hyperlink_224" Type="http://schemas.openxmlformats.org/officeDocument/2006/relationships/hyperlink" Target="https://www.test.lavrpack.ru/catalog/?product=454d5aae-dcc9-11ec-bc66-00e01a6800eb%2338ac9550-619b-11ed-bb4b-00e01a6800eb" TargetMode="External"/><Relationship Id="rId_hyperlink_225" Type="http://schemas.openxmlformats.org/officeDocument/2006/relationships/hyperlink" Target="https://www.test.lavrpack.ru/catalog/?product=454d5aae-dcc9-11ec-bc66-00e01a6800eb%23559c9e1d-619b-11ed-bb4b-00e01a6800eb" TargetMode="External"/><Relationship Id="rId_hyperlink_226" Type="http://schemas.openxmlformats.org/officeDocument/2006/relationships/hyperlink" Target="https://www.test.lavrpack.ru/catalog/?product=454d5aae-dcc9-11ec-bc66-00e01a6800eb%23d9d0bc7a-0b9d-11ef-9f05-00e01a6800eb" TargetMode="External"/><Relationship Id="rId_hyperlink_227" Type="http://schemas.openxmlformats.org/officeDocument/2006/relationships/hyperlink" Target="https://www.test.lavrpack.ru/catalog/?product=454d5aae-dcc9-11ec-bc66-00e01a6800eb%232d657869-619d-11ed-bb4b-00e01a6800eb" TargetMode="External"/><Relationship Id="rId_hyperlink_228" Type="http://schemas.openxmlformats.org/officeDocument/2006/relationships/hyperlink" Target="https://www.test.lavrpack.ru/catalog/?product=454d5aae-dcc9-11ec-bc66-00e01a6800eb%23381a641a-090e-11ef-9f05-00e01a6800eb" TargetMode="External"/><Relationship Id="rId_hyperlink_229" Type="http://schemas.openxmlformats.org/officeDocument/2006/relationships/hyperlink" Target="https://www.test.lavrpack.ru/catalog/?product=18cd602f-7f2f-11ec-b73f-0018e40a3af2%23a12a0507-bc21-11ed-ba70-00e01a6800eb" TargetMode="External"/><Relationship Id="rId_hyperlink_230" Type="http://schemas.openxmlformats.org/officeDocument/2006/relationships/hyperlink" Target="https://www.test.lavrpack.ru/catalog/?product=18cd602f-7f2f-11ec-b73f-0018e40a3af2%23f71edae6-0ba5-11ef-9f05-00e01a6800eb" TargetMode="External"/><Relationship Id="rId_hyperlink_231" Type="http://schemas.openxmlformats.org/officeDocument/2006/relationships/hyperlink" Target="https://www.test.lavrpack.ru/catalog/?product=18cd602f-7f2f-11ec-b73f-0018e40a3af2%238a230c69-0bab-11ef-9f05-00e01a6800eb" TargetMode="External"/><Relationship Id="rId_hyperlink_232" Type="http://schemas.openxmlformats.org/officeDocument/2006/relationships/hyperlink" Target="https://www.test.lavrpack.ru/catalog/?product=18cd602f-7f2f-11ec-b73f-0018e40a3af2%23833975a4-61aa-11ed-bb4b-00e01a6800eb" TargetMode="External"/><Relationship Id="rId_hyperlink_233" Type="http://schemas.openxmlformats.org/officeDocument/2006/relationships/hyperlink" Target="https://www.test.lavrpack.ru/catalog/?product=18cd602f-7f2f-11ec-b73f-0018e40a3af2%23a60e5876-61aa-11ed-bb4b-00e01a6800eb" TargetMode="External"/><Relationship Id="rId_hyperlink_234" Type="http://schemas.openxmlformats.org/officeDocument/2006/relationships/hyperlink" Target="https://www.test.lavrpack.ru/catalog/?product=18cd602f-7f2f-11ec-b73f-0018e40a3af2%23aeb639f6-bc21-11ed-ba70-00e01a6800eb" TargetMode="External"/><Relationship Id="rId_hyperlink_235" Type="http://schemas.openxmlformats.org/officeDocument/2006/relationships/hyperlink" Target="https://www.test.lavrpack.ru/catalog/?product=18cd602f-7f2f-11ec-b73f-0018e40a3af2%23608e8338-a311-11ef-ab3b-22344d083d2c" TargetMode="External"/><Relationship Id="rId_hyperlink_236" Type="http://schemas.openxmlformats.org/officeDocument/2006/relationships/hyperlink" Target="https://www.test.lavrpack.ru/catalog/?product=18cd602f-7f2f-11ec-b73f-0018e40a3af2%2358a3d19e-0baa-11ef-9f05-00e01a6800eb" TargetMode="External"/><Relationship Id="rId_hyperlink_237" Type="http://schemas.openxmlformats.org/officeDocument/2006/relationships/hyperlink" Target="https://www.test.lavrpack.ru/catalog/?product=18cd602f-7f2f-11ec-b73f-0018e40a3af2%23996dcbb2-61aa-11ed-bb4b-00e01a6800eb" TargetMode="External"/><Relationship Id="rId_hyperlink_238" Type="http://schemas.openxmlformats.org/officeDocument/2006/relationships/hyperlink" Target="https://www.test.lavrpack.ru/catalog/?product=18cd602f-7f2f-11ec-b73f-0018e40a3af2%233651dac3-0baa-11ef-9f05-00e01a6800eb" TargetMode="External"/><Relationship Id="rId_hyperlink_239" Type="http://schemas.openxmlformats.org/officeDocument/2006/relationships/hyperlink" Target="https://www.test.lavrpack.ru/catalog/?product=18cd602f-7f2f-11ec-b73f-0018e40a3af2%2363f65551-d3fa-11f0-ab4d-22344d083d2c" TargetMode="External"/><Relationship Id="rId_hyperlink_240" Type="http://schemas.openxmlformats.org/officeDocument/2006/relationships/hyperlink" Target="https://www.test.lavrpack.ru/catalog/?product=18cd602f-7f2f-11ec-b73f-0018e40a3af2%23a5030288-8acf-11ef-ab5c-1cfd08767543" TargetMode="External"/><Relationship Id="rId_hyperlink_241" Type="http://schemas.openxmlformats.org/officeDocument/2006/relationships/hyperlink" Target="https://www.test.lavrpack.ru/catalog/?product=18cd602f-7f2f-11ec-b73f-0018e40a3af2%239ff73323-61aa-11ed-bb4b-00e01a6800eb" TargetMode="External"/><Relationship Id="rId_hyperlink_242" Type="http://schemas.openxmlformats.org/officeDocument/2006/relationships/hyperlink" Target="https://www.test.lavrpack.ru/catalog/?product=18cd602f-7f2f-11ec-b73f-0018e40a3af2%231d93acc3-0baa-11ef-9f05-00e01a6800eb" TargetMode="External"/><Relationship Id="rId_hyperlink_243" Type="http://schemas.openxmlformats.org/officeDocument/2006/relationships/hyperlink" Target="https://www.test.lavrpack.ru/catalog/?product=18cd602f-7f2f-11ec-b73f-0018e40a3af2%23bee675b3-bc21-11ed-ba70-00e01a6800eb" TargetMode="External"/><Relationship Id="rId_hyperlink_244" Type="http://schemas.openxmlformats.org/officeDocument/2006/relationships/hyperlink" Target="https://www.test.lavrpack.ru/catalog/?product=18cd602f-7f2f-11ec-b73f-0018e40a3af2%23967af7ec-bc21-11ed-ba70-00e01a6800eb" TargetMode="External"/><Relationship Id="rId_hyperlink_245" Type="http://schemas.openxmlformats.org/officeDocument/2006/relationships/hyperlink" Target="https://www.test.lavrpack.ru/catalog/?product=18cd602f-7f2f-11ec-b73f-0018e40a3af2%230b424180-0ba5-11ef-9f05-00e01a6800eb" TargetMode="External"/><Relationship Id="rId_hyperlink_246" Type="http://schemas.openxmlformats.org/officeDocument/2006/relationships/hyperlink" Target="https://www.test.lavrpack.ru/catalog/?product=18cd602f-7f2f-11ec-b73f-0018e40a3af2%238080684f-0ba5-11ef-9f05-00e01a6800eb" TargetMode="External"/><Relationship Id="rId_hyperlink_247" Type="http://schemas.openxmlformats.org/officeDocument/2006/relationships/hyperlink" Target="https://www.test.lavrpack.ru/catalog/?product=18cd602f-7f2f-11ec-b73f-0018e40a3af2%230ca3a630-d44c-11ed-8488-00e01a6800eb" TargetMode="External"/><Relationship Id="rId_hyperlink_248" Type="http://schemas.openxmlformats.org/officeDocument/2006/relationships/hyperlink" Target="https://www.test.lavrpack.ru/catalog/?product=18cd602f-7f2f-11ec-b73f-0018e40a3af2%23f8a5d7b2-d44b-11ed-8488-00e01a6800eb" TargetMode="External"/><Relationship Id="rId_hyperlink_249" Type="http://schemas.openxmlformats.org/officeDocument/2006/relationships/hyperlink" Target="https://www.test.lavrpack.ru/catalog/?product=18cd602f-7f2f-11ec-b73f-0018e40a3af2%23009d4c45-0bab-11ef-9f05-00e01a6800eb" TargetMode="External"/><Relationship Id="rId_hyperlink_250" Type="http://schemas.openxmlformats.org/officeDocument/2006/relationships/hyperlink" Target="https://www.test.lavrpack.ru/catalog/?product=18cd602f-7f2f-11ec-b73f-0018e40a3af2%2332af9e69-0bab-11ef-9f05-00e01a6800eb" TargetMode="External"/><Relationship Id="rId_hyperlink_251" Type="http://schemas.openxmlformats.org/officeDocument/2006/relationships/hyperlink" Target="https://www.test.lavrpack.ru/catalog/?product=18cd602f-7f2f-11ec-b73f-0018e40a3af2%23cc6a4f23-61aa-11ed-bb4b-00e01a6800eb" TargetMode="External"/><Relationship Id="rId_hyperlink_252" Type="http://schemas.openxmlformats.org/officeDocument/2006/relationships/hyperlink" Target="https://www.test.lavrpack.ru/catalog/?product=18cd602f-7f2f-11ec-b73f-0018e40a3af2%236dbb0075-0bab-11ef-9f05-00e01a6800eb" TargetMode="External"/><Relationship Id="rId_hyperlink_253" Type="http://schemas.openxmlformats.org/officeDocument/2006/relationships/hyperlink" Target="https://www.test.lavrpack.ru/catalog/?product=1f00eb3e-b697-11ee-baea-00e01a6800eb%23de4af035-ed9f-11ee-9f05-00e01a6800eb" TargetMode="External"/><Relationship Id="rId_hyperlink_254" Type="http://schemas.openxmlformats.org/officeDocument/2006/relationships/hyperlink" Target="https://www.test.lavrpack.ru/catalog/?product=1b39ec9c-6445-11ee-bc2f-00e01a6800eb%23e6205f42-6665-11ee-bc2f-00e01a6800eb" TargetMode="External"/><Relationship Id="rId_hyperlink_255" Type="http://schemas.openxmlformats.org/officeDocument/2006/relationships/hyperlink" Target="https://www.test.lavrpack.ru/catalog/?product=1b39ec9c-6445-11ee-bc2f-00e01a6800eb%23ec1892c5-6665-11ee-bc2f-00e01a6800eb" TargetMode="External"/><Relationship Id="rId_hyperlink_256" Type="http://schemas.openxmlformats.org/officeDocument/2006/relationships/hyperlink" Target="https://www.test.lavrpack.ru/catalog/?product=a697f904-6447-11ee-bc2f-00e01a6800eb%2342fd2e12-6666-11ee-bc2f-00e01a6800eb" TargetMode="External"/><Relationship Id="rId_hyperlink_257" Type="http://schemas.openxmlformats.org/officeDocument/2006/relationships/hyperlink" Target="https://www.test.lavrpack.ru/catalog/?product=a697f904-6447-11ee-bc2f-00e01a6800eb%234f1b1d38-6666-11ee-bc2f-00e01a6800eb" TargetMode="External"/><Relationship Id="rId_hyperlink_258" Type="http://schemas.openxmlformats.org/officeDocument/2006/relationships/hyperlink" Target="https://www.test.lavrpack.ru/catalog/?product=00a1268f-6448-11ee-bc2f-00e01a6800eb%2358ef2bc9-6666-11ee-bc2f-00e01a6800eb" TargetMode="External"/><Relationship Id="rId_hyperlink_259" Type="http://schemas.openxmlformats.org/officeDocument/2006/relationships/hyperlink" Target="https://www.test.lavrpack.ru/catalog/?product=00a1268f-6448-11ee-bc2f-00e01a6800eb%2382dea9ce-6666-11ee-bc2f-00e01a6800eb" TargetMode="External"/><Relationship Id="rId_hyperlink_260" Type="http://schemas.openxmlformats.org/officeDocument/2006/relationships/hyperlink" Target="https://www.test.lavrpack.ru/catalog/?product=60afd4c6-6446-11ee-bc2f-00e01a6800eb%2304112e34-6666-11ee-bc2f-00e01a6800eb" TargetMode="External"/><Relationship Id="rId_hyperlink_261" Type="http://schemas.openxmlformats.org/officeDocument/2006/relationships/hyperlink" Target="https://www.test.lavrpack.ru/catalog/?product=60afd4c6-6446-11ee-bc2f-00e01a6800eb%230bcda718-6666-11ee-bc2f-00e01a6800eb" TargetMode="External"/><Relationship Id="rId_hyperlink_262" Type="http://schemas.openxmlformats.org/officeDocument/2006/relationships/hyperlink" Target="https://www.test.lavrpack.ru/catalog/?product=68145c1e-9680-11ef-ab37-22344d083d2c%23cebc3e3d-4a1c-11f1-ab50-22344d083d2c" TargetMode="External"/><Relationship Id="rId_hyperlink_263" Type="http://schemas.openxmlformats.org/officeDocument/2006/relationships/hyperlink" Target="https://www.test.lavrpack.ru/catalog/?product=68145c1e-9680-11ef-ab37-22344d083d2c%23c4cdd817-4a1c-11f1-ab50-22344d083d2c" TargetMode="External"/><Relationship Id="rId_hyperlink_264" Type="http://schemas.openxmlformats.org/officeDocument/2006/relationships/hyperlink" Target="https://www.test.lavrpack.ru/catalog/?product=6c39a276-9cea-11ef-ab3b-22344d083d2c%23a9f2b2b8-9cee-11ef-ab3b-22344d083d2c" TargetMode="External"/><Relationship Id="rId_hyperlink_265" Type="http://schemas.openxmlformats.org/officeDocument/2006/relationships/hyperlink" Target="https://www.test.lavrpack.ru/catalog/?product=6c39a276-9cea-11ef-ab3b-22344d083d2c%2391ddec10-9cea-11ef-ab3b-22344d083d2c" TargetMode="External"/><Relationship Id="rId_hyperlink_266" Type="http://schemas.openxmlformats.org/officeDocument/2006/relationships/hyperlink" Target="https://www.test.lavrpack.ru/catalog/?product=6c39a276-9cea-11ef-ab3b-22344d083d2c%234a94ab1c-9ced-11ef-ab3b-22344d083d2c" TargetMode="External"/><Relationship Id="rId_hyperlink_267" Type="http://schemas.openxmlformats.org/officeDocument/2006/relationships/hyperlink" Target="https://www.test.lavrpack.ru/catalog/?product=6c39a276-9cea-11ef-ab3b-22344d083d2c%23e9a4d0a8-9ced-11ef-ab3b-22344d083d2c" TargetMode="External"/><Relationship Id="rId_hyperlink_268" Type="http://schemas.openxmlformats.org/officeDocument/2006/relationships/hyperlink" Target="https://www.test.lavrpack.ru/catalog/?product=6c39a276-9cea-11ef-ab3b-22344d083d2c%23b7e357f9-9cea-11ef-ab3b-22344d083d2c" TargetMode="External"/><Relationship Id="rId_hyperlink_269" Type="http://schemas.openxmlformats.org/officeDocument/2006/relationships/hyperlink" Target="https://www.test.lavrpack.ru/catalog/?product=6c39a276-9cea-11ef-ab3b-22344d083d2c%2397d00b6e-9ced-11ef-ab3b-22344d083d2c" TargetMode="External"/><Relationship Id="rId_hyperlink_270" Type="http://schemas.openxmlformats.org/officeDocument/2006/relationships/hyperlink" Target="https://www.test.lavrpack.ru/catalog/?product=6c39a276-9cea-11ef-ab3b-22344d083d2c%23979b49ad-9cee-11ef-ab3b-22344d083d2c" TargetMode="External"/><Relationship Id="rId_hyperlink_271" Type="http://schemas.openxmlformats.org/officeDocument/2006/relationships/hyperlink" Target="https://www.test.lavrpack.ru/catalog/?product=6c39a276-9cea-11ef-ab3b-22344d083d2c%2378a2aa03-9cea-11ef-ab3b-22344d083d2c" TargetMode="External"/><Relationship Id="rId_hyperlink_272" Type="http://schemas.openxmlformats.org/officeDocument/2006/relationships/hyperlink" Target="https://www.test.lavrpack.ru/catalog/?product=6c39a276-9cea-11ef-ab3b-22344d083d2c%230fb365f7-9ceb-11ef-ab3b-22344d083d2c" TargetMode="External"/><Relationship Id="rId_hyperlink_273" Type="http://schemas.openxmlformats.org/officeDocument/2006/relationships/hyperlink" Target="https://www.test.lavrpack.ru/catalog/?product=6c39a276-9cea-11ef-ab3b-22344d083d2c%2378a5710d-9ced-11ef-ab3b-22344d083d2c" TargetMode="External"/><Relationship Id="rId_hyperlink_274" Type="http://schemas.openxmlformats.org/officeDocument/2006/relationships/hyperlink" Target="https://www.test.lavrpack.ru/catalog/?product=6c39a276-9cea-11ef-ab3b-22344d083d2c%232cf7481b-9cee-11ef-ab3b-22344d083d2c" TargetMode="External"/><Relationship Id="rId_hyperlink_275" Type="http://schemas.openxmlformats.org/officeDocument/2006/relationships/hyperlink" Target="https://www.test.lavrpack.ru/catalog/?product=6c39a276-9cea-11ef-ab3b-22344d083d2c%238ace18cf-9cea-11ef-ab3b-22344d083d2c" TargetMode="External"/><Relationship Id="rId_hyperlink_276" Type="http://schemas.openxmlformats.org/officeDocument/2006/relationships/hyperlink" Target="https://www.test.lavrpack.ru/catalog/?product=6c39a276-9cea-11ef-ab3b-22344d083d2c%23aa11581a-9ced-11ef-ab3b-22344d083d2c" TargetMode="External"/><Relationship Id="rId_hyperlink_277" Type="http://schemas.openxmlformats.org/officeDocument/2006/relationships/hyperlink" Target="https://www.test.lavrpack.ru/catalog/?product=6c39a276-9cea-11ef-ab3b-22344d083d2c%23f02e1a91-9ced-11ef-ab3b-22344d083d2c" TargetMode="External"/><Relationship Id="rId_hyperlink_278" Type="http://schemas.openxmlformats.org/officeDocument/2006/relationships/hyperlink" Target="https://www.test.lavrpack.ru/catalog/?product=6c39a276-9cea-11ef-ab3b-22344d083d2c%230e8afae2-9cee-11ef-ab3b-22344d083d2c" TargetMode="External"/><Relationship Id="rId_hyperlink_279" Type="http://schemas.openxmlformats.org/officeDocument/2006/relationships/hyperlink" Target="https://www.test.lavrpack.ru/catalog/?product=6c39a276-9cea-11ef-ab3b-22344d083d2c%238b336936-9cee-11ef-ab3b-22344d083d2c" TargetMode="External"/><Relationship Id="rId_hyperlink_280" Type="http://schemas.openxmlformats.org/officeDocument/2006/relationships/hyperlink" Target="https://www.test.lavrpack.ru/catalog/?product=6c39a276-9cea-11ef-ab3b-22344d083d2c%2356d9f57e-9ced-11ef-ab3b-22344d083d2c" TargetMode="External"/><Relationship Id="rId_hyperlink_281" Type="http://schemas.openxmlformats.org/officeDocument/2006/relationships/hyperlink" Target="https://www.test.lavrpack.ru/catalog/?product=6c39a276-9cea-11ef-ab3b-22344d083d2c%23d69745b3-9ced-11ef-ab3b-22344d083d2c" TargetMode="External"/><Relationship Id="rId_hyperlink_282" Type="http://schemas.openxmlformats.org/officeDocument/2006/relationships/hyperlink" Target="https://www.test.lavrpack.ru/catalog/?product=6c39a276-9cea-11ef-ab3b-22344d083d2c%236aad51a4-9cee-11ef-ab3b-22344d083d2c" TargetMode="External"/><Relationship Id="rId_hyperlink_283" Type="http://schemas.openxmlformats.org/officeDocument/2006/relationships/hyperlink" Target="https://www.test.lavrpack.ru/catalog/?product=6c39a276-9cea-11ef-ab3b-22344d083d2c%239816cfa1-9cea-11ef-ab3b-22344d083d2c" TargetMode="External"/><Relationship Id="rId_hyperlink_284" Type="http://schemas.openxmlformats.org/officeDocument/2006/relationships/hyperlink" Target="https://www.test.lavrpack.ru/catalog/?product=6c39a276-9cea-11ef-ab3b-22344d083d2c%2320f26ebc-9cee-11ef-ab3b-22344d083d2c" TargetMode="External"/><Relationship Id="rId_hyperlink_285" Type="http://schemas.openxmlformats.org/officeDocument/2006/relationships/hyperlink" Target="https://www.test.lavrpack.ru/catalog/?product=6c39a276-9cea-11ef-ab3b-22344d083d2c%234c24b41f-9cee-11ef-ab3b-22344d083d2c" TargetMode="External"/><Relationship Id="rId_hyperlink_286" Type="http://schemas.openxmlformats.org/officeDocument/2006/relationships/hyperlink" Target="https://www.test.lavrpack.ru/catalog/?product=6c39a276-9cea-11ef-ab3b-22344d083d2c%234492672b-9ced-11ef-ab3b-22344d083d2c" TargetMode="External"/><Relationship Id="rId_hyperlink_287" Type="http://schemas.openxmlformats.org/officeDocument/2006/relationships/hyperlink" Target="https://www.test.lavrpack.ru/catalog/?product=6c39a276-9cea-11ef-ab3b-22344d083d2c%237e9b80a1-9cea-11ef-ab3b-22344d083d2c" TargetMode="External"/><Relationship Id="rId_hyperlink_288" Type="http://schemas.openxmlformats.org/officeDocument/2006/relationships/hyperlink" Target="https://www.test.lavrpack.ru/catalog/?product=6c39a276-9cea-11ef-ab3b-22344d083d2c%239e342aef-9cea-11ef-ab3b-22344d083d2c" TargetMode="External"/><Relationship Id="rId_hyperlink_289" Type="http://schemas.openxmlformats.org/officeDocument/2006/relationships/hyperlink" Target="https://www.test.lavrpack.ru/catalog/?product=6c39a276-9cea-11ef-ab3b-22344d083d2c%23dcd38bdf-9ced-11ef-ab3b-22344d083d2c" TargetMode="External"/><Relationship Id="rId_hyperlink_290" Type="http://schemas.openxmlformats.org/officeDocument/2006/relationships/hyperlink" Target="https://www.test.lavrpack.ru/catalog/?product=6c39a276-9cea-11ef-ab3b-22344d083d2c%233998670b-9cee-11ef-ab3b-22344d083d2c" TargetMode="External"/><Relationship Id="rId_hyperlink_291" Type="http://schemas.openxmlformats.org/officeDocument/2006/relationships/hyperlink" Target="https://www.test.lavrpack.ru/catalog/?product=6c39a276-9cea-11ef-ab3b-22344d083d2c%235e74d467-9cee-11ef-ab3b-22344d083d2c" TargetMode="External"/><Relationship Id="rId_hyperlink_292" Type="http://schemas.openxmlformats.org/officeDocument/2006/relationships/hyperlink" Target="https://www.test.lavrpack.ru/catalog/?product=6c39a276-9cea-11ef-ab3b-22344d083d2c%239dcaf100-9ced-11ef-ab3b-22344d083d2c" TargetMode="External"/><Relationship Id="rId_hyperlink_293" Type="http://schemas.openxmlformats.org/officeDocument/2006/relationships/hyperlink" Target="https://www.test.lavrpack.ru/catalog/?product=6c39a276-9cea-11ef-ab3b-22344d083d2c%237ed8293e-9cee-11ef-ab3b-22344d083d2c" TargetMode="External"/><Relationship Id="rId_hyperlink_294" Type="http://schemas.openxmlformats.org/officeDocument/2006/relationships/hyperlink" Target="https://www.test.lavrpack.ru/catalog/?product=50503d04-7f2b-11ec-b73f-0018e40a3af2" TargetMode="External"/><Relationship Id="rId_hyperlink_295" Type="http://schemas.openxmlformats.org/officeDocument/2006/relationships/hyperlink" Target="https://www.test.lavrpack.ru/catalog/?product=68a62707-7f2b-11ec-b73f-0018e40a3af2" TargetMode="External"/><Relationship Id="rId_hyperlink_296" Type="http://schemas.openxmlformats.org/officeDocument/2006/relationships/hyperlink" Target="https://www.test.lavrpack.ru/catalog/?product=0b8b00e2-9ce6-11ef-ab3b-22344d083d2c%23c68dd49d-9ce6-11ef-ab3b-22344d083d2c" TargetMode="External"/><Relationship Id="rId_hyperlink_297" Type="http://schemas.openxmlformats.org/officeDocument/2006/relationships/hyperlink" Target="https://www.test.lavrpack.ru/catalog/?product=0b8b00e2-9ce6-11ef-ab3b-22344d083d2c%23ba61b7b1-9ce6-11ef-ab3b-22344d083d2c" TargetMode="External"/><Relationship Id="rId_hyperlink_298" Type="http://schemas.openxmlformats.org/officeDocument/2006/relationships/hyperlink" Target="https://www.test.lavrpack.ru/catalog/?product=0b8b00e2-9ce6-11ef-ab3b-22344d083d2c%23dea71187-9ce6-11ef-ab3b-22344d083d2c" TargetMode="External"/><Relationship Id="rId_hyperlink_299" Type="http://schemas.openxmlformats.org/officeDocument/2006/relationships/hyperlink" Target="https://www.test.lavrpack.ru/catalog/?product=0b8b00e2-9ce6-11ef-ab3b-22344d083d2c%2355942d9e-9ce6-11ef-ab3b-22344d083d2c" TargetMode="External"/><Relationship Id="rId_hyperlink_300" Type="http://schemas.openxmlformats.org/officeDocument/2006/relationships/hyperlink" Target="https://www.test.lavrpack.ru/catalog/?product=0b8b00e2-9ce6-11ef-ab3b-22344d083d2c%232a8cc5fd-9ce6-11ef-ab3b-22344d083d2c" TargetMode="External"/><Relationship Id="rId_hyperlink_301" Type="http://schemas.openxmlformats.org/officeDocument/2006/relationships/hyperlink" Target="https://www.test.lavrpack.ru/catalog/?product=0b8b00e2-9ce6-11ef-ab3b-22344d083d2c%2369a40374-9ce6-11ef-ab3b-22344d083d2c" TargetMode="External"/><Relationship Id="rId_hyperlink_302" Type="http://schemas.openxmlformats.org/officeDocument/2006/relationships/hyperlink" Target="https://www.test.lavrpack.ru/catalog/?product=0b8b00e2-9ce6-11ef-ab3b-22344d083d2c%23fcf46029-9ce6-11ef-ab3b-22344d083d2c" TargetMode="External"/><Relationship Id="rId_hyperlink_303" Type="http://schemas.openxmlformats.org/officeDocument/2006/relationships/hyperlink" Target="https://www.test.lavrpack.ru/catalog/?product=0b8b00e2-9ce6-11ef-ab3b-22344d083d2c%2375da0766-9ce6-11ef-ab3b-22344d083d2c" TargetMode="External"/><Relationship Id="rId_hyperlink_304" Type="http://schemas.openxmlformats.org/officeDocument/2006/relationships/hyperlink" Target="https://www.test.lavrpack.ru/catalog/?product=0b8b00e2-9ce6-11ef-ab3b-22344d083d2c%23497952d5-9ce6-11ef-ab3b-22344d083d2c" TargetMode="External"/><Relationship Id="rId_hyperlink_305" Type="http://schemas.openxmlformats.org/officeDocument/2006/relationships/hyperlink" Target="https://www.test.lavrpack.ru/catalog/?product=0b8b00e2-9ce6-11ef-ab3b-22344d083d2c%236fccbba5-9ce6-11ef-ab3b-22344d083d2c" TargetMode="External"/><Relationship Id="rId_hyperlink_306" Type="http://schemas.openxmlformats.org/officeDocument/2006/relationships/hyperlink" Target="https://www.test.lavrpack.ru/catalog/?product=0b8b00e2-9ce6-11ef-ab3b-22344d083d2c%23e4b657f1-9ce6-11ef-ab3b-22344d083d2c" TargetMode="External"/><Relationship Id="rId_hyperlink_307" Type="http://schemas.openxmlformats.org/officeDocument/2006/relationships/hyperlink" Target="https://www.test.lavrpack.ru/catalog/?product=0b8b00e2-9ce6-11ef-ab3b-22344d083d2c%23a16f9ab1-9ce6-11ef-ab3b-22344d083d2c" TargetMode="External"/><Relationship Id="rId_hyperlink_308" Type="http://schemas.openxmlformats.org/officeDocument/2006/relationships/hyperlink" Target="https://www.test.lavrpack.ru/catalog/?product=0b8b00e2-9ce6-11ef-ab3b-22344d083d2c%2388f80bb2-9ce6-11ef-ab3b-22344d083d2c" TargetMode="External"/><Relationship Id="rId_hyperlink_309" Type="http://schemas.openxmlformats.org/officeDocument/2006/relationships/hyperlink" Target="https://www.test.lavrpack.ru/catalog/?product=0b8b00e2-9ce6-11ef-ab3b-22344d083d2c%23eaba0c9f-9ce6-11ef-ab3b-22344d083d2c" TargetMode="External"/><Relationship Id="rId_hyperlink_310" Type="http://schemas.openxmlformats.org/officeDocument/2006/relationships/hyperlink" Target="https://www.test.lavrpack.ru/catalog/?product=0b8b00e2-9ce6-11ef-ab3b-22344d083d2c%23638b5924-9ce6-11ef-ab3b-22344d083d2c" TargetMode="External"/><Relationship Id="rId_hyperlink_311" Type="http://schemas.openxmlformats.org/officeDocument/2006/relationships/hyperlink" Target="https://www.test.lavrpack.ru/catalog/?product=0b8b00e2-9ce6-11ef-ab3b-22344d083d2c%23d8a65939-9ce6-11ef-ab3b-22344d083d2c" TargetMode="External"/><Relationship Id="rId_hyperlink_312" Type="http://schemas.openxmlformats.org/officeDocument/2006/relationships/hyperlink" Target="https://www.test.lavrpack.ru/catalog/?product=0b8b00e2-9ce6-11ef-ab3b-22344d083d2c%2324927993-9ce6-11ef-ab3b-22344d083d2c" TargetMode="External"/><Relationship Id="rId_hyperlink_313" Type="http://schemas.openxmlformats.org/officeDocument/2006/relationships/hyperlink" Target="https://www.test.lavrpack.ru/catalog/?product=0b8b00e2-9ce6-11ef-ab3b-22344d083d2c%2382d7e9cf-9ce6-11ef-ab3b-22344d083d2c" TargetMode="External"/><Relationship Id="rId_hyperlink_314" Type="http://schemas.openxmlformats.org/officeDocument/2006/relationships/hyperlink" Target="https://www.test.lavrpack.ru/catalog/?product=0b8b00e2-9ce6-11ef-ab3b-22344d083d2c%23c07d20f3-9ce6-11ef-ab3b-22344d083d2c" TargetMode="External"/><Relationship Id="rId_hyperlink_315" Type="http://schemas.openxmlformats.org/officeDocument/2006/relationships/hyperlink" Target="https://www.test.lavrpack.ru/catalog/?product=0b8b00e2-9ce6-11ef-ab3b-22344d083d2c%23d2ab1d62-9ce6-11ef-ab3b-22344d083d2c" TargetMode="External"/><Relationship Id="rId_hyperlink_316" Type="http://schemas.openxmlformats.org/officeDocument/2006/relationships/hyperlink" Target="https://www.test.lavrpack.ru/catalog/?product=0b8b00e2-9ce6-11ef-ab3b-22344d083d2c%239572c191-9ce6-11ef-ab3b-22344d083d2c" TargetMode="External"/><Relationship Id="rId_hyperlink_317" Type="http://schemas.openxmlformats.org/officeDocument/2006/relationships/hyperlink" Target="https://www.test.lavrpack.ru/catalog/?product=0b8b00e2-9ce6-11ef-ab3b-22344d083d2c%23309e6e49-9ce6-11ef-ab3b-22344d083d2c" TargetMode="External"/><Relationship Id="rId_hyperlink_318" Type="http://schemas.openxmlformats.org/officeDocument/2006/relationships/hyperlink" Target="https://www.test.lavrpack.ru/catalog/?product=0b8b00e2-9ce6-11ef-ab3b-22344d083d2c%234f7c5cf1-9ce6-11ef-ab3b-22344d083d2c" TargetMode="External"/><Relationship Id="rId_hyperlink_319" Type="http://schemas.openxmlformats.org/officeDocument/2006/relationships/hyperlink" Target="https://www.test.lavrpack.ru/catalog/?product=0b8b00e2-9ce6-11ef-ab3b-22344d083d2c%230338a919-9ce7-11ef-ab3b-22344d083d2c" TargetMode="External"/><Relationship Id="rId_hyperlink_320" Type="http://schemas.openxmlformats.org/officeDocument/2006/relationships/hyperlink" Target="https://www.test.lavrpack.ru/catalog/?product=0b8b00e2-9ce6-11ef-ab3b-22344d083d2c%239b6c575c-9ce6-11ef-ab3b-22344d083d2c" TargetMode="External"/><Relationship Id="rId_hyperlink_321" Type="http://schemas.openxmlformats.org/officeDocument/2006/relationships/hyperlink" Target="https://www.test.lavrpack.ru/catalog/?product=0b8b00e2-9ce6-11ef-ab3b-22344d083d2c%23f6e8eb21-9ce6-11ef-ab3b-22344d083d2c" TargetMode="External"/><Relationship Id="rId_hyperlink_322" Type="http://schemas.openxmlformats.org/officeDocument/2006/relationships/hyperlink" Target="https://www.test.lavrpack.ru/catalog/?product=225c5cf2-2ca6-11ef-a848-00e01a6800eb" TargetMode="External"/><Relationship Id="rId_hyperlink_323" Type="http://schemas.openxmlformats.org/officeDocument/2006/relationships/hyperlink" Target="https://www.test.lavrpack.ru/catalog/?product=3db57651-928a-11ee-a8ad-00e01a6800eb" TargetMode="External"/><Relationship Id="rId_hyperlink_324" Type="http://schemas.openxmlformats.org/officeDocument/2006/relationships/hyperlink" Target="https://www.test.lavrpack.ru/catalog/?product=3967f723-dcc8-11ec-bc66-00e01a6800eb" TargetMode="External"/><Relationship Id="rId_hyperlink_325" Type="http://schemas.openxmlformats.org/officeDocument/2006/relationships/hyperlink" Target="https://www.test.lavrpack.ru/catalog/?product=1c6493db-928a-11ee-a8ad-00e01a6800eb" TargetMode="External"/><Relationship Id="rId_hyperlink_326" Type="http://schemas.openxmlformats.org/officeDocument/2006/relationships/hyperlink" Target="https://www.test.lavrpack.ru/catalog/?product=60510542-9591-11ed-bb4b-00e01a6800eb" TargetMode="External"/><Relationship Id="rId_hyperlink_327" Type="http://schemas.openxmlformats.org/officeDocument/2006/relationships/hyperlink" Target="https://www.test.lavrpack.ru/catalog/?product=2743b5f7-dcc8-11ec-bc66-00e01a6800eb" TargetMode="External"/><Relationship Id="rId_hyperlink_328" Type="http://schemas.openxmlformats.org/officeDocument/2006/relationships/hyperlink" Target="https://www.test.lavrpack.ru/catalog/?product=d3a9f24b-b696-11ee-baea-00e01a6800eb" TargetMode="External"/><Relationship Id="rId_hyperlink_329" Type="http://schemas.openxmlformats.org/officeDocument/2006/relationships/hyperlink" Target="https://www.test.lavrpack.ru/catalog/?product=8335dc14-2ca5-11ef-a848-00e01a6800eb" TargetMode="External"/><Relationship Id="rId_hyperlink_330" Type="http://schemas.openxmlformats.org/officeDocument/2006/relationships/hyperlink" Target="https://www.test.lavrpack.ru/catalog/?product=fc3d3d67-9289-11ee-a8ad-00e01a6800eb" TargetMode="External"/><Relationship Id="rId_hyperlink_331" Type="http://schemas.openxmlformats.org/officeDocument/2006/relationships/hyperlink" Target="https://www.test.lavrpack.ru/catalog/?product=45391508-644e-11ee-bc2f-00e01a6800eb" TargetMode="External"/><Relationship Id="rId_hyperlink_332" Type="http://schemas.openxmlformats.org/officeDocument/2006/relationships/hyperlink" Target="https://www.test.lavrpack.ru/catalog/?product=20b7bd9a-644e-11ee-bc2f-00e01a6800eb" TargetMode="External"/><Relationship Id="rId_hyperlink_333" Type="http://schemas.openxmlformats.org/officeDocument/2006/relationships/hyperlink" Target="https://www.test.lavrpack.ru/catalog/?product=4fc170d7-7f2a-11ec-b73f-0018e40a3af2" TargetMode="External"/><Relationship Id="rId_hyperlink_334" Type="http://schemas.openxmlformats.org/officeDocument/2006/relationships/hyperlink" Target="https://www.test.lavrpack.ru/catalog/?product=a4daaa07-7f2a-11ec-b73f-0018e40a3af2" TargetMode="External"/><Relationship Id="rId_hyperlink_335" Type="http://schemas.openxmlformats.org/officeDocument/2006/relationships/hyperlink" Target="https://www.test.lavrpack.ru/catalog/?product=f6732656-be44-11ed-8100-00e01a6800eb%230d532d72-be45-11ed-8100-00e01a6800eb" TargetMode="External"/><Relationship Id="rId_hyperlink_336" Type="http://schemas.openxmlformats.org/officeDocument/2006/relationships/hyperlink" Target="https://www.test.lavrpack.ru/catalog/?product=92af6b47-efe6-11ee-9f05-00e01a6800eb%230fff5003-4d20-11f1-ab50-22344d083d2c" TargetMode="External"/><Relationship Id="rId_hyperlink_337" Type="http://schemas.openxmlformats.org/officeDocument/2006/relationships/hyperlink" Target="https://www.test.lavrpack.ru/catalog/?product=e314c4c4-9281-11ee-a8ad-00e01a6800eb%230ad44518-686b-11f0-ab47-22344d083d2c" TargetMode="External"/><Relationship Id="rId_hyperlink_338" Type="http://schemas.openxmlformats.org/officeDocument/2006/relationships/hyperlink" Target="https://www.test.lavrpack.ru/catalog/?product=e314c4c4-9281-11ee-a8ad-00e01a6800eb%2304f47a5c-9282-11ee-a8ad-00e01a6800eb" TargetMode="External"/><Relationship Id="rId_hyperlink_339" Type="http://schemas.openxmlformats.org/officeDocument/2006/relationships/hyperlink" Target="https://www.test.lavrpack.ru/catalog/?product=e314c4c4-9281-11ee-a8ad-00e01a6800eb%23fdd542be-686a-11f0-ab47-22344d083d2c" TargetMode="External"/><Relationship Id="rId_hyperlink_340" Type="http://schemas.openxmlformats.org/officeDocument/2006/relationships/hyperlink" Target="https://www.test.lavrpack.ru/catalog/?product=e314c4c4-9281-11ee-a8ad-00e01a6800eb%238bfaaaa7-84ca-11f1-ab51-22344d083d2c" TargetMode="External"/><Relationship Id="rId_hyperlink_341" Type="http://schemas.openxmlformats.org/officeDocument/2006/relationships/hyperlink" Target="https://www.test.lavrpack.ru/catalog/?product=e314c4c4-9281-11ee-a8ad-00e01a6800eb%23b49c4ca2-9282-11ee-a8ad-00e01a6800eb" TargetMode="External"/><Relationship Id="rId_hyperlink_342" Type="http://schemas.openxmlformats.org/officeDocument/2006/relationships/hyperlink" Target="https://www.test.lavrpack.ru/catalog/?product=e314c4c4-9281-11ee-a8ad-00e01a6800eb%23e5667758-9283-11ee-a8ad-00e01a6800eb" TargetMode="External"/><Relationship Id="rId_hyperlink_343" Type="http://schemas.openxmlformats.org/officeDocument/2006/relationships/hyperlink" Target="https://www.test.lavrpack.ru/catalog/?product=e314c4c4-9281-11ee-a8ad-00e01a6800eb%231dd8bdbf-9282-11ee-a8ad-00e01a6800eb" TargetMode="External"/><Relationship Id="rId_hyperlink_344" Type="http://schemas.openxmlformats.org/officeDocument/2006/relationships/hyperlink" Target="https://www.test.lavrpack.ru/catalog/?product=e314c4c4-9281-11ee-a8ad-00e01a6800eb%23db8e64af-b695-11ee-baea-00e01a6800eb" TargetMode="External"/><Relationship Id="rId_hyperlink_345" Type="http://schemas.openxmlformats.org/officeDocument/2006/relationships/hyperlink" Target="https://www.test.lavrpack.ru/catalog/?product=e314c4c4-9281-11ee-a8ad-00e01a6800eb%2352c374bf-9282-11ee-a8ad-00e01a6800eb" TargetMode="External"/><Relationship Id="rId_hyperlink_346" Type="http://schemas.openxmlformats.org/officeDocument/2006/relationships/hyperlink" Target="https://www.test.lavrpack.ru/catalog/?product=e314c4c4-9281-11ee-a8ad-00e01a6800eb%23f01e7029-686a-11f0-ab47-22344d083d2c" TargetMode="External"/><Relationship Id="rId_hyperlink_347" Type="http://schemas.openxmlformats.org/officeDocument/2006/relationships/hyperlink" Target="https://www.test.lavrpack.ru/catalog/?product=e314c4c4-9281-11ee-a8ad-00e01a6800eb%23417a56a2-9282-11ee-a8ad-00e01a6800eb" TargetMode="External"/><Relationship Id="rId_hyperlink_348" Type="http://schemas.openxmlformats.org/officeDocument/2006/relationships/hyperlink" Target="https://www.test.lavrpack.ru/catalog/?product=e314c4c4-9281-11ee-a8ad-00e01a6800eb%231817f49b-686b-11f0-ab47-22344d083d2c" TargetMode="External"/><Relationship Id="rId_hyperlink_349" Type="http://schemas.openxmlformats.org/officeDocument/2006/relationships/hyperlink" Target="https://www.test.lavrpack.ru/catalog/?product=e314c4c4-9281-11ee-a8ad-00e01a6800eb%2303c6ca4d-edc3-11ee-9f05-00e01a6800eb" TargetMode="External"/><Relationship Id="rId_hyperlink_350" Type="http://schemas.openxmlformats.org/officeDocument/2006/relationships/hyperlink" Target="https://www.test.lavrpack.ru/catalog/?product=e314c4c4-9281-11ee-a8ad-00e01a6800eb%2371f79101-ed9f-11ee-9f05-00e01a6800eb" TargetMode="External"/><Relationship Id="rId_hyperlink_351" Type="http://schemas.openxmlformats.org/officeDocument/2006/relationships/hyperlink" Target="https://www.test.lavrpack.ru/catalog/?product=e314c4c4-9281-11ee-a8ad-00e01a6800eb%23626c0268-9282-11ee-a8ad-00e01a6800eb" TargetMode="External"/><Relationship Id="rId_hyperlink_352" Type="http://schemas.openxmlformats.org/officeDocument/2006/relationships/hyperlink" Target="https://www.test.lavrpack.ru/catalog/?product=e314c4c4-9281-11ee-a8ad-00e01a6800eb%237829b83e-84ca-11f1-ab51-22344d083d2c" TargetMode="External"/><Relationship Id="rId_hyperlink_353" Type="http://schemas.openxmlformats.org/officeDocument/2006/relationships/hyperlink" Target="https://www.test.lavrpack.ru/catalog/?product=e314c4c4-9281-11ee-a8ad-00e01a6800eb%2371a9716e-9282-11ee-a8ad-00e01a6800eb" TargetMode="External"/><Relationship Id="rId_hyperlink_354" Type="http://schemas.openxmlformats.org/officeDocument/2006/relationships/hyperlink" Target="https://www.test.lavrpack.ru/catalog/?product=e314c4c4-9281-11ee-a8ad-00e01a6800eb%238206e7ae-9282-11ee-a8ad-00e01a6800eb" TargetMode="External"/><Relationship Id="rId_hyperlink_355" Type="http://schemas.openxmlformats.org/officeDocument/2006/relationships/hyperlink" Target="https://www.test.lavrpack.ru/catalog/?product=e314c4c4-9281-11ee-a8ad-00e01a6800eb%23effc13c6-b695-11ee-baea-00e01a6800eb" TargetMode="External"/><Relationship Id="rId_hyperlink_356" Type="http://schemas.openxmlformats.org/officeDocument/2006/relationships/hyperlink" Target="https://www.test.lavrpack.ru/catalog/?product=e314c4c4-9281-11ee-a8ad-00e01a6800eb%2331d19f16-2d4e-11ef-a848-00e01a6800eb" TargetMode="External"/><Relationship Id="rId_hyperlink_357" Type="http://schemas.openxmlformats.org/officeDocument/2006/relationships/hyperlink" Target="https://www.test.lavrpack.ru/catalog/?product=e314c4c4-9281-11ee-a8ad-00e01a6800eb%23fa11adaf-edc2-11ee-9f05-00e01a6800eb" TargetMode="External"/><Relationship Id="rId_hyperlink_358" Type="http://schemas.openxmlformats.org/officeDocument/2006/relationships/hyperlink" Target="https://www.test.lavrpack.ru/catalog/?product=e314c4c4-9281-11ee-a8ad-00e01a6800eb%232eed7d72-9282-11ee-a8ad-00e01a6800eb" TargetMode="External"/><Relationship Id="rId_hyperlink_359" Type="http://schemas.openxmlformats.org/officeDocument/2006/relationships/hyperlink" Target="https://www.test.lavrpack.ru/catalog/?product=9969c38b-6b04-11ed-bb4b-00e01a6800eb%235c1e9467-9045-11ee-a8ad-00e01a6800eb" TargetMode="External"/><Relationship Id="rId_hyperlink_360" Type="http://schemas.openxmlformats.org/officeDocument/2006/relationships/hyperlink" Target="https://www.test.lavrpack.ru/catalog/?product=9969c38b-6b04-11ed-bb4b-00e01a6800eb%2368a290a8-9045-11ee-a8ad-00e01a6800eb" TargetMode="External"/><Relationship Id="rId_hyperlink_361" Type="http://schemas.openxmlformats.org/officeDocument/2006/relationships/hyperlink" Target="https://www.test.lavrpack.ru/catalog/?product=9969c38b-6b04-11ed-bb4b-00e01a6800eb%23b476088b-9044-11ee-a8ad-00e01a6800eb" TargetMode="External"/><Relationship Id="rId_hyperlink_362" Type="http://schemas.openxmlformats.org/officeDocument/2006/relationships/hyperlink" Target="https://www.test.lavrpack.ru/catalog/?product=9969c38b-6b04-11ed-bb4b-00e01a6800eb%2326189992-9045-11ee-a8ad-00e01a6800eb" TargetMode="External"/><Relationship Id="rId_hyperlink_363" Type="http://schemas.openxmlformats.org/officeDocument/2006/relationships/hyperlink" Target="https://www.test.lavrpack.ru/catalog/?product=9969c38b-6b04-11ed-bb4b-00e01a6800eb%23f2361b06-9044-11ee-a8ad-00e01a6800eb" TargetMode="External"/><Relationship Id="rId_hyperlink_364" Type="http://schemas.openxmlformats.org/officeDocument/2006/relationships/hyperlink" Target="https://www.test.lavrpack.ru/catalog/?product=9969c38b-6b04-11ed-bb4b-00e01a6800eb%23834a9bd2-9044-11ee-a8ad-00e01a6800eb" TargetMode="External"/><Relationship Id="rId_hyperlink_365" Type="http://schemas.openxmlformats.org/officeDocument/2006/relationships/hyperlink" Target="https://www.test.lavrpack.ru/catalog/?product=9969c38b-6b04-11ed-bb4b-00e01a6800eb%23404ee0b6-9045-11ee-a8ad-00e01a6800eb" TargetMode="External"/><Relationship Id="rId_hyperlink_366" Type="http://schemas.openxmlformats.org/officeDocument/2006/relationships/hyperlink" Target="https://www.test.lavrpack.ru/catalog/?product=9969c38b-6b04-11ed-bb4b-00e01a6800eb%23a559ec5d-9044-11ee-a8ad-00e01a6800eb" TargetMode="External"/><Relationship Id="rId_hyperlink_367" Type="http://schemas.openxmlformats.org/officeDocument/2006/relationships/hyperlink" Target="https://www.test.lavrpack.ru/catalog/?product=9969c38b-6b04-11ed-bb4b-00e01a6800eb%2312ff4f0c-9045-11ee-a8ad-00e01a6800eb" TargetMode="External"/><Relationship Id="rId_hyperlink_368" Type="http://schemas.openxmlformats.org/officeDocument/2006/relationships/hyperlink" Target="https://www.test.lavrpack.ru/catalog/?product=7db0443d-a211-11ed-ba70-00e01a6800eb%23c1ff9ca0-0538-11ee-90e0-00e01a6800eb" TargetMode="External"/><Relationship Id="rId_hyperlink_369" Type="http://schemas.openxmlformats.org/officeDocument/2006/relationships/hyperlink" Target="https://www.test.lavrpack.ru/catalog/?product=7db0443d-a211-11ed-ba70-00e01a6800eb%23e5c9ad1f-0538-11ee-90e0-00e01a6800eb" TargetMode="External"/><Relationship Id="rId_hyperlink_370" Type="http://schemas.openxmlformats.org/officeDocument/2006/relationships/hyperlink" Target="https://www.test.lavrpack.ru/catalog/?product=7db0443d-a211-11ed-ba70-00e01a6800eb%23dd44204a-4d21-11f1-ab50-22344d083d2c" TargetMode="External"/><Relationship Id="rId_hyperlink_371" Type="http://schemas.openxmlformats.org/officeDocument/2006/relationships/hyperlink" Target="https://www.test.lavrpack.ru/catalog/?product=7db0443d-a211-11ed-ba70-00e01a6800eb%23a66a4f5b-a211-11ed-ba70-00e01a6800eb" TargetMode="External"/><Relationship Id="rId_hyperlink_372" Type="http://schemas.openxmlformats.org/officeDocument/2006/relationships/hyperlink" Target="https://www.test.lavrpack.ru/catalog/?product=7db0443d-a211-11ed-ba70-00e01a6800eb%23af551702-a211-11ed-ba70-00e01a6800eb" TargetMode="External"/><Relationship Id="rId_hyperlink_373" Type="http://schemas.openxmlformats.org/officeDocument/2006/relationships/hyperlink" Target="https://www.test.lavrpack.ru/catalog/?product=7db0443d-a211-11ed-ba70-00e01a6800eb%238a2859b1-a211-11ed-ba70-00e01a6800eb" TargetMode="External"/><Relationship Id="rId_hyperlink_374" Type="http://schemas.openxmlformats.org/officeDocument/2006/relationships/hyperlink" Target="https://www.test.lavrpack.ru/catalog/?product=7db0443d-a211-11ed-ba70-00e01a6800eb%23b13c31d8-967f-11ef-ab37-22344d083d2c" TargetMode="External"/><Relationship Id="rId_hyperlink_375" Type="http://schemas.openxmlformats.org/officeDocument/2006/relationships/hyperlink" Target="https://www.test.lavrpack.ru/catalog/?product=e7c58407-bb7f-11ef-ab3b-22344d083d2c%2321132f3c-bb80-11ef-ab3b-22344d083d2c" TargetMode="External"/><Relationship Id="rId_hyperlink_376" Type="http://schemas.openxmlformats.org/officeDocument/2006/relationships/hyperlink" Target="https://www.test.lavrpack.ru/catalog/?product=e7c58407-bb7f-11ef-ab3b-22344d083d2c%23271a7291-bb80-11ef-ab3b-22344d083d2c" TargetMode="External"/><Relationship Id="rId_hyperlink_377" Type="http://schemas.openxmlformats.org/officeDocument/2006/relationships/hyperlink" Target="https://www.test.lavrpack.ru/catalog/?product=e7c58407-bb7f-11ef-ab3b-22344d083d2c%235f786778-a8cc-11f0-ab48-22344d083d2c" TargetMode="External"/><Relationship Id="rId_hyperlink_378" Type="http://schemas.openxmlformats.org/officeDocument/2006/relationships/hyperlink" Target="https://www.test.lavrpack.ru/catalog/?product=e7c58407-bb7f-11ef-ab3b-22344d083d2c%23f46bcfc8-bb7f-11ef-ab3b-22344d083d2c" TargetMode="External"/><Relationship Id="rId_hyperlink_379" Type="http://schemas.openxmlformats.org/officeDocument/2006/relationships/hyperlink" Target="https://www.test.lavrpack.ru/catalog/?product=61ebc4f8-7f2a-11ec-b73f-0018e40a3af2" TargetMode="External"/><Relationship Id="rId_hyperlink_380" Type="http://schemas.openxmlformats.org/officeDocument/2006/relationships/hyperlink" Target="https://www.test.lavrpack.ru/catalog/?product=f33bee21-160f-11f0-ab40-22344d083d2c" TargetMode="External"/><Relationship Id="rId_hyperlink_381" Type="http://schemas.openxmlformats.org/officeDocument/2006/relationships/hyperlink" Target="https://www.test.lavrpack.ru/catalog/?product=6e2151c2-7f2a-11ec-b73f-0018e40a3af2" TargetMode="External"/><Relationship Id="rId_hyperlink_382" Type="http://schemas.openxmlformats.org/officeDocument/2006/relationships/hyperlink" Target="https://www.test.lavrpack.ru/catalog/?product=55d9636c-7f2a-11ec-b73f-0018e40a3af2" TargetMode="External"/><Relationship Id="rId_hyperlink_383" Type="http://schemas.openxmlformats.org/officeDocument/2006/relationships/hyperlink" Target="https://www.test.lavrpack.ru/catalog/?product=9d31b2b6-cd2e-11ec-bc66-00e01a6800eb" TargetMode="External"/><Relationship Id="rId_hyperlink_384" Type="http://schemas.openxmlformats.org/officeDocument/2006/relationships/hyperlink" Target="https://www.test.lavrpack.ru/catalog/?product=88f1321f-cd2e-11ec-bc66-00e01a6800eb" TargetMode="External"/><Relationship Id="rId_hyperlink_385" Type="http://schemas.openxmlformats.org/officeDocument/2006/relationships/hyperlink" Target="https://www.test.lavrpack.ru/catalog/?product=7c0483f1-cd2e-11ec-bc66-00e01a6800eb" TargetMode="External"/><Relationship Id="rId_hyperlink_386" Type="http://schemas.openxmlformats.org/officeDocument/2006/relationships/hyperlink" Target="https://www.test.lavrpack.ru/catalog/?product=267442c8-cd2e-11ec-bc66-00e01a6800eb" TargetMode="External"/><Relationship Id="rId_hyperlink_387" Type="http://schemas.openxmlformats.org/officeDocument/2006/relationships/hyperlink" Target="https://www.test.lavrpack.ru/catalog/?product=34457fa0-cd2e-11ec-bc66-00e01a6800eb" TargetMode="External"/><Relationship Id="rId_hyperlink_388" Type="http://schemas.openxmlformats.org/officeDocument/2006/relationships/hyperlink" Target="https://www.test.lavrpack.ru/catalog/?product=5be00fa9-7f2c-11ec-b73f-0018e40a3af2" TargetMode="External"/><Relationship Id="rId_hyperlink_389" Type="http://schemas.openxmlformats.org/officeDocument/2006/relationships/hyperlink" Target="https://www.test.lavrpack.ru/catalog/?product=6e2151d2-7f2a-11ec-b73f-0018e40a3af2" TargetMode="External"/><Relationship Id="rId_hyperlink_390" Type="http://schemas.openxmlformats.org/officeDocument/2006/relationships/hyperlink" Target="https://www.test.lavrpack.ru/catalog/?product=6813234f-7f2a-11ec-b73f-0018e40a3af2" TargetMode="External"/><Relationship Id="rId_hyperlink_391" Type="http://schemas.openxmlformats.org/officeDocument/2006/relationships/hyperlink" Target="https://www.test.lavrpack.ru/catalog/?product=323a430a-bb0f-11ec-bc66-00e01a6800eb" TargetMode="External"/><Relationship Id="rId_hyperlink_392" Type="http://schemas.openxmlformats.org/officeDocument/2006/relationships/hyperlink" Target="https://www.test.lavrpack.ru/catalog/?product=5074dca4-bb0f-11ec-bc66-00e01a6800eb" TargetMode="External"/><Relationship Id="rId_hyperlink_393" Type="http://schemas.openxmlformats.org/officeDocument/2006/relationships/hyperlink" Target="https://www.test.lavrpack.ru/catalog/?product=01783e81-bb0f-11ec-bc66-00e01a6800eb" TargetMode="External"/><Relationship Id="rId_hyperlink_394" Type="http://schemas.openxmlformats.org/officeDocument/2006/relationships/hyperlink" Target="https://www.test.lavrpack.ru/catalog/?product=3b785ada-bb0f-11ec-bc66-00e01a6800eb" TargetMode="External"/><Relationship Id="rId_hyperlink_395" Type="http://schemas.openxmlformats.org/officeDocument/2006/relationships/hyperlink" Target="https://www.test.lavrpack.ru/catalog/?product=467f7adf-bb0f-11ec-bc66-00e01a6800eb" TargetMode="External"/><Relationship Id="rId_hyperlink_396" Type="http://schemas.openxmlformats.org/officeDocument/2006/relationships/hyperlink" Target="https://www.test.lavrpack.ru/catalog/?product=286d58a9-bb0f-11ec-bc66-00e01a6800eb" TargetMode="External"/><Relationship Id="rId_hyperlink_397" Type="http://schemas.openxmlformats.org/officeDocument/2006/relationships/hyperlink" Target="https://www.test.lavrpack.ru/catalog/?product=e1412fc8-a8f6-11f0-ab48-22344d083d2c%23fbd2bbd6-a8f6-11f0-ab48-22344d083d2c" TargetMode="External"/><Relationship Id="rId_hyperlink_398" Type="http://schemas.openxmlformats.org/officeDocument/2006/relationships/hyperlink" Target="https://www.test.lavrpack.ru/catalog/?product=e1412fc8-a8f6-11f0-ab48-22344d083d2c%23d1367244-b4a2-11f0-ab48-22344d083d2c" TargetMode="External"/><Relationship Id="rId_hyperlink_399" Type="http://schemas.openxmlformats.org/officeDocument/2006/relationships/hyperlink" Target="https://www.test.lavrpack.ru/catalog/?product=e1412fc8-a8f6-11f0-ab48-22344d083d2c%23dc2dbf9c-a9ca-11f0-ab48-22344d083d2c" TargetMode="External"/><Relationship Id="rId_hyperlink_400" Type="http://schemas.openxmlformats.org/officeDocument/2006/relationships/hyperlink" Target="https://www.test.lavrpack.ru/catalog/?product=e1412fc8-a8f6-11f0-ab48-22344d083d2c%2317469c97-a8f7-11f0-ab48-22344d083d2c" TargetMode="External"/><Relationship Id="rId_hyperlink_401" Type="http://schemas.openxmlformats.org/officeDocument/2006/relationships/hyperlink" Target="https://www.test.lavrpack.ru/catalog/?product=e1412fc8-a8f6-11f0-ab48-22344d083d2c%23e46fa214-b4a2-11f0-ab48-22344d083d2c" TargetMode="External"/><Relationship Id="rId_hyperlink_402" Type="http://schemas.openxmlformats.org/officeDocument/2006/relationships/hyperlink" Target="https://www.test.lavrpack.ru/catalog/?product=22df6031-0940-11ef-9f05-00e01a6800eb%2328d79378-0940-11ef-9f05-00e01a6800eb" TargetMode="External"/><Relationship Id="rId_hyperlink_403" Type="http://schemas.openxmlformats.org/officeDocument/2006/relationships/hyperlink" Target="https://www.test.lavrpack.ru/catalog/?product=22df6031-0940-11ef-9f05-00e01a6800eb%2334c7fa49-0940-11ef-9f05-00e01a6800eb" TargetMode="External"/><Relationship Id="rId_hyperlink_404" Type="http://schemas.openxmlformats.org/officeDocument/2006/relationships/hyperlink" Target="https://www.test.lavrpack.ru/catalog/?product=22df6031-0940-11ef-9f05-00e01a6800eb%233ba97494-0940-11ef-9f05-00e01a6800eb" TargetMode="External"/><Relationship Id="rId_hyperlink_405" Type="http://schemas.openxmlformats.org/officeDocument/2006/relationships/hyperlink" Target="https://www.test.lavrpack.ru/catalog/?product=fb5ff114-1723-11ee-8f7e-00e01a6800eb%2331047793-34f6-11ee-a5bc-00e01a6800eb" TargetMode="External"/><Relationship Id="rId_hyperlink_406" Type="http://schemas.openxmlformats.org/officeDocument/2006/relationships/hyperlink" Target="https://www.test.lavrpack.ru/catalog/?product=fb5ff114-1723-11ee-8f7e-00e01a6800eb%23371478c5-34f6-11ee-a5bc-00e01a6800eb" TargetMode="External"/><Relationship Id="rId_hyperlink_407" Type="http://schemas.openxmlformats.org/officeDocument/2006/relationships/hyperlink" Target="https://www.test.lavrpack.ru/catalog/?product=122319b3-1724-11ee-8f7e-00e01a6800eb%232df25c31-84c5-11f0-ab48-22344d083d2c" TargetMode="External"/><Relationship Id="rId_hyperlink_408" Type="http://schemas.openxmlformats.org/officeDocument/2006/relationships/hyperlink" Target="https://www.test.lavrpack.ru/catalog/?product=122319b3-1724-11ee-8f7e-00e01a6800eb%231228b055-34ec-11ee-a5bc-00e01a6800eb" TargetMode="External"/><Relationship Id="rId_hyperlink_409" Type="http://schemas.openxmlformats.org/officeDocument/2006/relationships/hyperlink" Target="https://www.test.lavrpack.ru/catalog/?product=122319b3-1724-11ee-8f7e-00e01a6800eb%2348e8916d-34f6-11ee-a5bc-00e01a6800eb" TargetMode="External"/><Relationship Id="rId_hyperlink_410" Type="http://schemas.openxmlformats.org/officeDocument/2006/relationships/hyperlink" Target="https://www.test.lavrpack.ru/catalog/?product=3ecce7e6-9cf1-11ef-ab3b-22344d083d2c%235d6c0488-9cf1-11ef-ab3b-22344d083d2c" TargetMode="External"/><Relationship Id="rId_hyperlink_411" Type="http://schemas.openxmlformats.org/officeDocument/2006/relationships/hyperlink" Target="https://www.test.lavrpack.ru/catalog/?product=3ecce7e6-9cf1-11ef-ab3b-22344d083d2c%2345039ebb-9cf1-11ef-ab3b-22344d083d2c" TargetMode="External"/><Relationship Id="rId_hyperlink_412" Type="http://schemas.openxmlformats.org/officeDocument/2006/relationships/hyperlink" Target="https://www.test.lavrpack.ru/catalog/?product=ae503b94-a213-11ed-ba70-00e01a6800eb%23d2ecf343-edcd-11ee-9f05-00e01a6800eb" TargetMode="External"/><Relationship Id="rId_hyperlink_413" Type="http://schemas.openxmlformats.org/officeDocument/2006/relationships/hyperlink" Target="https://www.test.lavrpack.ru/catalog/?product=ae503b94-a213-11ed-ba70-00e01a6800eb%23bc87d397-a213-11ed-ba70-00e01a6800eb" TargetMode="External"/><Relationship Id="rId_hyperlink_414" Type="http://schemas.openxmlformats.org/officeDocument/2006/relationships/hyperlink" Target="https://www.test.lavrpack.ru/catalog/?product=ae503b94-a213-11ed-ba70-00e01a6800eb%23226a4ea4-a2c2-11ed-ba70-00e01a6800eb" TargetMode="External"/><Relationship Id="rId_hyperlink_415" Type="http://schemas.openxmlformats.org/officeDocument/2006/relationships/hyperlink" Target="https://www.test.lavrpack.ru/catalog/?product=ae503b94-a213-11ed-ba70-00e01a6800eb%2352fb01c9-a2c2-11ed-ba70-00e01a6800eb" TargetMode="External"/><Relationship Id="rId_hyperlink_416" Type="http://schemas.openxmlformats.org/officeDocument/2006/relationships/hyperlink" Target="https://www.test.lavrpack.ru/catalog/?product=ae503b94-a213-11ed-ba70-00e01a6800eb%233caf6642-9684-11ef-ab37-22344d083d2c" TargetMode="External"/><Relationship Id="rId_hyperlink_417" Type="http://schemas.openxmlformats.org/officeDocument/2006/relationships/hyperlink" Target="https://www.test.lavrpack.ru/catalog/?product=ed950f5a-644b-11ee-bc2f-00e01a6800eb%231a585550-666a-11ee-bc2f-00e01a6800eb" TargetMode="External"/><Relationship Id="rId_hyperlink_418" Type="http://schemas.openxmlformats.org/officeDocument/2006/relationships/hyperlink" Target="https://www.test.lavrpack.ru/catalog/?product=ed950f5a-644b-11ee-bc2f-00e01a6800eb%23f886e88b-6669-11ee-bc2f-00e01a6800eb" TargetMode="External"/><Relationship Id="rId_hyperlink_419" Type="http://schemas.openxmlformats.org/officeDocument/2006/relationships/hyperlink" Target="https://www.test.lavrpack.ru/catalog/?product=ed950f5a-644b-11ee-bc2f-00e01a6800eb%230bbf24e2-666a-11ee-bc2f-00e01a6800eb" TargetMode="External"/><Relationship Id="rId_hyperlink_420" Type="http://schemas.openxmlformats.org/officeDocument/2006/relationships/hyperlink" Target="https://www.test.lavrpack.ru/catalog/?product=ee5a2cbb-7f2a-11ec-b73f-0018e40a3af2" TargetMode="External"/><Relationship Id="rId_hyperlink_421" Type="http://schemas.openxmlformats.org/officeDocument/2006/relationships/hyperlink" Target="https://www.test.lavrpack.ru/catalog/?product=7efd5340-7f2e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439"/>
  <sheetViews>
    <sheetView tabSelected="1" workbookViewId="0" showGridLines="true" showRowColHeaders="1">
      <pane ySplit="6" activePane="bottomLeft" state="frozen" topLeftCell="A7"/>
      <selection pane="bottomLeft" activeCell="M7" sqref="M7:M435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</cols>
  <sheetData>
    <row r="1" spans="1:16" customHeight="1" ht="30">
      <c r="A1" s="1" t="s">
        <v>0</v>
      </c>
    </row>
    <row r="2" spans="1:16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6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6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6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IF($G$3="","",SUMPRODUCT(--ISNUMBER(SEARCH($G$3,$B$7:$B$435&amp;" "&amp;$C$7:$C$435&amp;" "&amp;$D$7:$D$435&amp;" "&amp;$E$7:$E$435)))&amp;" найдено — совпадения подсвечены")</f>
      </c>
      <c r="J5" s="4"/>
      <c r="K5" s="7"/>
      <c r="L5" s="10"/>
    </row>
    <row r="6" spans="1:16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 t="s">
        <v>21</v>
      </c>
      <c r="I6" s="15" t="s">
        <v>22</v>
      </c>
      <c r="J6" s="15" t="s">
        <v>23</v>
      </c>
      <c r="K6" s="15" t="s">
        <v>24</v>
      </c>
      <c r="L6" s="15" t="s">
        <v>25</v>
      </c>
      <c r="M6" s="15" t="s">
        <v>5</v>
      </c>
      <c r="N6" s="40" t="s">
        <v>1296</v>
      </c>
      <c r="P6" s="40" t="s">
        <v>1297</v>
      </c>
    </row>
    <row r="7" spans="1:16" customHeight="1" ht="24">
      <c r="A7" s="23" t="s">
        <v>26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6" customHeight="1" ht="58">
      <c r="A8" s="16"/>
      <c r="B8" s="18" t="s">
        <v>28</v>
      </c>
      <c r="C8" s="17" t="s">
        <v>29</v>
      </c>
      <c r="D8" s="17" t="s">
        <v>30</v>
      </c>
      <c r="E8" s="17" t="s">
        <v>31</v>
      </c>
      <c r="F8" s="19"/>
      <c r="G8" s="20">
        <v>1.0</v>
      </c>
      <c r="H8" s="21">
        <v>231.0</v>
      </c>
      <c r="I8" s="21">
        <v>150.0</v>
      </c>
      <c r="J8" s="22">
        <v>227.0</v>
      </c>
      <c r="K8" s="50"/>
      <c r="L8" s="21" t="str">
        <f>IF(K8&gt;0,K8*I8,"")</f>
      </c>
      <c r="M8" s="52"/>
      <c r="N8" t="str">
        <f>IF(K8&gt;0,COUNTIF($K$7:K8,"&gt;0"),"")</f>
      </c>
      <c r="O8" t="s">
        <v>32</v>
      </c>
      <c r="P8" t="s">
        <v>27</v>
      </c>
    </row>
    <row r="9" spans="1:16" customHeight="1" ht="58">
      <c r="A9" s="16"/>
      <c r="B9" s="18" t="s">
        <v>34</v>
      </c>
      <c r="C9" s="17" t="s">
        <v>29</v>
      </c>
      <c r="D9" s="17" t="s">
        <v>35</v>
      </c>
      <c r="E9" s="17" t="s">
        <v>31</v>
      </c>
      <c r="F9" s="19"/>
      <c r="G9" s="20">
        <v>1.0</v>
      </c>
      <c r="H9" s="21">
        <v>242.0</v>
      </c>
      <c r="I9" s="21">
        <v>153.0</v>
      </c>
      <c r="J9" s="22">
        <v>90.0</v>
      </c>
      <c r="K9" s="50"/>
      <c r="L9" s="21" t="str">
        <f>IF(K9&gt;0,K9*I9,"")</f>
      </c>
      <c r="M9" s="52"/>
      <c r="N9" t="str">
        <f>IF(K9&gt;0,COUNTIF($K$7:K9,"&gt;0"),"")</f>
      </c>
      <c r="O9" t="s">
        <v>36</v>
      </c>
      <c r="P9" t="s">
        <v>33</v>
      </c>
    </row>
    <row r="10" spans="1:16" customHeight="1" ht="58">
      <c r="A10" s="16"/>
      <c r="B10" s="18" t="s">
        <v>38</v>
      </c>
      <c r="C10" s="17" t="s">
        <v>29</v>
      </c>
      <c r="D10" s="17" t="s">
        <v>39</v>
      </c>
      <c r="E10" s="17" t="s">
        <v>31</v>
      </c>
      <c r="F10" s="19"/>
      <c r="G10" s="20">
        <v>1.0</v>
      </c>
      <c r="H10" s="21">
        <v>231.0</v>
      </c>
      <c r="I10" s="21">
        <v>150.0</v>
      </c>
      <c r="J10" s="22">
        <v>230.0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40</v>
      </c>
      <c r="P10" t="s">
        <v>37</v>
      </c>
    </row>
    <row r="11" spans="1:16" customHeight="1" ht="58">
      <c r="A11" s="16"/>
      <c r="B11" s="18" t="s">
        <v>42</v>
      </c>
      <c r="C11" s="17" t="s">
        <v>29</v>
      </c>
      <c r="D11" s="17" t="s">
        <v>43</v>
      </c>
      <c r="E11" s="17" t="s">
        <v>31</v>
      </c>
      <c r="F11" s="19"/>
      <c r="G11" s="20">
        <v>1.0</v>
      </c>
      <c r="H11" s="21">
        <v>231.0</v>
      </c>
      <c r="I11" s="21">
        <v>150.0</v>
      </c>
      <c r="J11" s="22">
        <v>148.0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44</v>
      </c>
      <c r="P11" t="s">
        <v>41</v>
      </c>
    </row>
    <row r="12" spans="1:16" customHeight="1" ht="58">
      <c r="A12" s="16"/>
      <c r="B12" s="18" t="s">
        <v>46</v>
      </c>
      <c r="C12" s="17" t="s">
        <v>29</v>
      </c>
      <c r="D12" s="17" t="s">
        <v>47</v>
      </c>
      <c r="E12" s="17" t="s">
        <v>31</v>
      </c>
      <c r="F12" s="19"/>
      <c r="G12" s="20">
        <v>1.0</v>
      </c>
      <c r="H12" s="21">
        <v>231.0</v>
      </c>
      <c r="I12" s="21">
        <v>150.0</v>
      </c>
      <c r="J12" s="22">
        <v>28.0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48</v>
      </c>
      <c r="P12" t="s">
        <v>45</v>
      </c>
    </row>
    <row r="13" spans="1:16" customHeight="1" ht="58">
      <c r="A13" s="16"/>
      <c r="B13" s="18" t="s">
        <v>50</v>
      </c>
      <c r="C13" s="17" t="s">
        <v>29</v>
      </c>
      <c r="D13" s="17" t="s">
        <v>51</v>
      </c>
      <c r="E13" s="17" t="s">
        <v>31</v>
      </c>
      <c r="F13" s="19"/>
      <c r="G13" s="20">
        <v>1.0</v>
      </c>
      <c r="H13" s="21">
        <v>231.0</v>
      </c>
      <c r="I13" s="21">
        <v>150.0</v>
      </c>
      <c r="J13" s="22">
        <v>115.0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52</v>
      </c>
      <c r="P13" t="s">
        <v>49</v>
      </c>
    </row>
    <row r="14" spans="1:16" customHeight="1" ht="58">
      <c r="A14" s="16"/>
      <c r="B14" s="18" t="s">
        <v>54</v>
      </c>
      <c r="C14" s="17" t="s">
        <v>29</v>
      </c>
      <c r="D14" s="17" t="s">
        <v>55</v>
      </c>
      <c r="E14" s="17" t="s">
        <v>31</v>
      </c>
      <c r="F14" s="19"/>
      <c r="G14" s="20">
        <v>1.0</v>
      </c>
      <c r="H14" s="21">
        <v>231.0</v>
      </c>
      <c r="I14" s="21">
        <v>150.0</v>
      </c>
      <c r="J14" s="22">
        <v>19.0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56</v>
      </c>
      <c r="P14" t="s">
        <v>53</v>
      </c>
    </row>
    <row r="15" spans="1:16" customHeight="1" ht="58">
      <c r="A15" s="16"/>
      <c r="B15" s="18" t="s">
        <v>58</v>
      </c>
      <c r="C15" s="17" t="s">
        <v>29</v>
      </c>
      <c r="D15" s="17" t="s">
        <v>59</v>
      </c>
      <c r="E15" s="17" t="s">
        <v>31</v>
      </c>
      <c r="F15" s="19"/>
      <c r="G15" s="20">
        <v>1.0</v>
      </c>
      <c r="H15" s="21">
        <v>231.0</v>
      </c>
      <c r="I15" s="21">
        <v>150.0</v>
      </c>
      <c r="J15" s="22">
        <v>35.0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60</v>
      </c>
      <c r="P15" t="s">
        <v>57</v>
      </c>
    </row>
    <row r="16" spans="1:16" customHeight="1" ht="58">
      <c r="A16" s="16"/>
      <c r="B16" s="18" t="s">
        <v>62</v>
      </c>
      <c r="C16" s="17" t="s">
        <v>29</v>
      </c>
      <c r="D16" s="17" t="s">
        <v>63</v>
      </c>
      <c r="E16" s="17" t="s">
        <v>31</v>
      </c>
      <c r="F16" s="19"/>
      <c r="G16" s="20">
        <v>1.0</v>
      </c>
      <c r="H16" s="21">
        <v>231.0</v>
      </c>
      <c r="I16" s="21">
        <v>150.0</v>
      </c>
      <c r="J16" s="22">
        <v>16.0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64</v>
      </c>
      <c r="P16" t="s">
        <v>61</v>
      </c>
    </row>
    <row r="17" spans="1:16" customHeight="1" ht="58">
      <c r="A17" s="16"/>
      <c r="B17" s="18" t="s">
        <v>66</v>
      </c>
      <c r="C17" s="17" t="s">
        <v>29</v>
      </c>
      <c r="D17" s="17" t="s">
        <v>67</v>
      </c>
      <c r="E17" s="17" t="s">
        <v>31</v>
      </c>
      <c r="F17" s="19"/>
      <c r="G17" s="20">
        <v>1.0</v>
      </c>
      <c r="H17" s="21">
        <v>231.0</v>
      </c>
      <c r="I17" s="21">
        <v>150.0</v>
      </c>
      <c r="J17" s="22">
        <v>67.0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68</v>
      </c>
      <c r="P17" t="s">
        <v>65</v>
      </c>
    </row>
    <row r="18" spans="1:16" customHeight="1" ht="58">
      <c r="A18" s="16"/>
      <c r="B18" s="18" t="s">
        <v>70</v>
      </c>
      <c r="C18" s="17" t="s">
        <v>29</v>
      </c>
      <c r="D18" s="17" t="s">
        <v>71</v>
      </c>
      <c r="E18" s="17" t="s">
        <v>31</v>
      </c>
      <c r="F18" s="19"/>
      <c r="G18" s="20">
        <v>1.0</v>
      </c>
      <c r="H18" s="21">
        <v>231.0</v>
      </c>
      <c r="I18" s="21">
        <v>150.0</v>
      </c>
      <c r="J18" s="22">
        <v>159.0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72</v>
      </c>
      <c r="P18" t="s">
        <v>69</v>
      </c>
    </row>
    <row r="19" spans="1:16" customHeight="1" ht="58">
      <c r="A19" s="16"/>
      <c r="B19" s="18" t="s">
        <v>74</v>
      </c>
      <c r="C19" s="17" t="s">
        <v>29</v>
      </c>
      <c r="D19" s="17" t="s">
        <v>75</v>
      </c>
      <c r="E19" s="17" t="s">
        <v>31</v>
      </c>
      <c r="F19" s="19"/>
      <c r="G19" s="20">
        <v>1.0</v>
      </c>
      <c r="H19" s="21">
        <v>231.0</v>
      </c>
      <c r="I19" s="21">
        <v>150.0</v>
      </c>
      <c r="J19" s="22">
        <v>328.0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76</v>
      </c>
      <c r="P19" t="s">
        <v>73</v>
      </c>
    </row>
    <row r="20" spans="1:16" customHeight="1" ht="58">
      <c r="A20" s="16"/>
      <c r="B20" s="18" t="s">
        <v>78</v>
      </c>
      <c r="C20" s="17" t="s">
        <v>29</v>
      </c>
      <c r="D20" s="17" t="s">
        <v>79</v>
      </c>
      <c r="E20" s="17" t="s">
        <v>31</v>
      </c>
      <c r="F20" s="19"/>
      <c r="G20" s="20">
        <v>1.0</v>
      </c>
      <c r="H20" s="21">
        <v>231.0</v>
      </c>
      <c r="I20" s="21">
        <v>150.0</v>
      </c>
      <c r="J20" s="22">
        <v>89.0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80</v>
      </c>
      <c r="P20" t="s">
        <v>77</v>
      </c>
    </row>
    <row r="21" spans="1:16" customHeight="1" ht="58">
      <c r="A21" s="16"/>
      <c r="B21" s="18" t="s">
        <v>82</v>
      </c>
      <c r="C21" s="17" t="s">
        <v>29</v>
      </c>
      <c r="D21" s="17" t="s">
        <v>83</v>
      </c>
      <c r="E21" s="17" t="s">
        <v>31</v>
      </c>
      <c r="F21" s="19"/>
      <c r="G21" s="20">
        <v>1.0</v>
      </c>
      <c r="H21" s="21">
        <v>231.0</v>
      </c>
      <c r="I21" s="21">
        <v>150.0</v>
      </c>
      <c r="J21" s="22">
        <v>121.0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84</v>
      </c>
      <c r="P21" t="s">
        <v>81</v>
      </c>
    </row>
    <row r="22" spans="1:16" customHeight="1" ht="58">
      <c r="A22" s="16"/>
      <c r="B22" s="18" t="s">
        <v>86</v>
      </c>
      <c r="C22" s="17" t="s">
        <v>29</v>
      </c>
      <c r="D22" s="17" t="s">
        <v>87</v>
      </c>
      <c r="E22" s="17" t="s">
        <v>31</v>
      </c>
      <c r="F22" s="19"/>
      <c r="G22" s="20">
        <v>1.0</v>
      </c>
      <c r="H22" s="21">
        <v>231.0</v>
      </c>
      <c r="I22" s="21">
        <v>150.0</v>
      </c>
      <c r="J22" s="22">
        <v>147.0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88</v>
      </c>
      <c r="P22" t="s">
        <v>85</v>
      </c>
    </row>
    <row r="23" spans="1:16" customHeight="1" ht="58">
      <c r="A23" s="16"/>
      <c r="B23" s="18" t="s">
        <v>90</v>
      </c>
      <c r="C23" s="17" t="s">
        <v>29</v>
      </c>
      <c r="D23" s="17" t="s">
        <v>91</v>
      </c>
      <c r="E23" s="17" t="s">
        <v>31</v>
      </c>
      <c r="F23" s="19"/>
      <c r="G23" s="20">
        <v>1.0</v>
      </c>
      <c r="H23" s="21">
        <v>231.0</v>
      </c>
      <c r="I23" s="21">
        <v>150.0</v>
      </c>
      <c r="J23" s="22">
        <v>84.0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92</v>
      </c>
      <c r="P23" t="s">
        <v>89</v>
      </c>
    </row>
    <row r="24" spans="1:16" customHeight="1" ht="58">
      <c r="A24" s="16"/>
      <c r="B24" s="18" t="s">
        <v>94</v>
      </c>
      <c r="C24" s="17" t="s">
        <v>29</v>
      </c>
      <c r="D24" s="17" t="s">
        <v>95</v>
      </c>
      <c r="E24" s="17" t="s">
        <v>31</v>
      </c>
      <c r="F24" s="19"/>
      <c r="G24" s="20">
        <v>1.0</v>
      </c>
      <c r="H24" s="21">
        <v>231.0</v>
      </c>
      <c r="I24" s="21">
        <v>150.0</v>
      </c>
      <c r="J24" s="22">
        <v>29.0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96</v>
      </c>
      <c r="P24" t="s">
        <v>93</v>
      </c>
    </row>
    <row r="25" spans="1:16" customHeight="1" ht="58">
      <c r="A25" s="16"/>
      <c r="B25" s="18" t="s">
        <v>98</v>
      </c>
      <c r="C25" s="17" t="s">
        <v>29</v>
      </c>
      <c r="D25" s="17" t="s">
        <v>99</v>
      </c>
      <c r="E25" s="17" t="s">
        <v>31</v>
      </c>
      <c r="F25" s="19"/>
      <c r="G25" s="20">
        <v>1.0</v>
      </c>
      <c r="H25" s="21">
        <v>231.0</v>
      </c>
      <c r="I25" s="21">
        <v>150.0</v>
      </c>
      <c r="J25" s="22">
        <v>135.0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100</v>
      </c>
      <c r="P25" t="s">
        <v>97</v>
      </c>
    </row>
    <row r="26" spans="1:16" customHeight="1" ht="58">
      <c r="A26" s="16"/>
      <c r="B26" s="18" t="s">
        <v>102</v>
      </c>
      <c r="C26" s="17" t="s">
        <v>29</v>
      </c>
      <c r="D26" s="17" t="s">
        <v>103</v>
      </c>
      <c r="E26" s="17" t="s">
        <v>31</v>
      </c>
      <c r="F26" s="19"/>
      <c r="G26" s="20">
        <v>1.0</v>
      </c>
      <c r="H26" s="21">
        <v>231.0</v>
      </c>
      <c r="I26" s="21">
        <v>150.0</v>
      </c>
      <c r="J26" s="22">
        <v>119.0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104</v>
      </c>
      <c r="P26" t="s">
        <v>101</v>
      </c>
    </row>
    <row r="27" spans="1:16" customHeight="1" ht="58">
      <c r="A27" s="16"/>
      <c r="B27" s="18" t="s">
        <v>106</v>
      </c>
      <c r="C27" s="17" t="s">
        <v>29</v>
      </c>
      <c r="D27" s="17" t="s">
        <v>107</v>
      </c>
      <c r="E27" s="17" t="s">
        <v>31</v>
      </c>
      <c r="F27" s="19"/>
      <c r="G27" s="20">
        <v>1.0</v>
      </c>
      <c r="H27" s="21">
        <v>231.0</v>
      </c>
      <c r="I27" s="21">
        <v>150.0</v>
      </c>
      <c r="J27" s="22">
        <v>87.0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108</v>
      </c>
      <c r="P27" t="s">
        <v>105</v>
      </c>
    </row>
    <row r="28" spans="1:16" customHeight="1" ht="58">
      <c r="A28" s="16"/>
      <c r="B28" s="18" t="s">
        <v>110</v>
      </c>
      <c r="C28" s="17" t="s">
        <v>29</v>
      </c>
      <c r="D28" s="17" t="s">
        <v>111</v>
      </c>
      <c r="E28" s="17" t="s">
        <v>31</v>
      </c>
      <c r="F28" s="19"/>
      <c r="G28" s="20">
        <v>1.0</v>
      </c>
      <c r="H28" s="21">
        <v>231.0</v>
      </c>
      <c r="I28" s="21">
        <v>149.0</v>
      </c>
      <c r="J28" s="22">
        <v>257.0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112</v>
      </c>
      <c r="P28" t="s">
        <v>109</v>
      </c>
    </row>
    <row r="29" spans="1:16" customHeight="1" ht="58">
      <c r="A29" s="16"/>
      <c r="B29" s="18" t="s">
        <v>114</v>
      </c>
      <c r="C29" s="17" t="s">
        <v>29</v>
      </c>
      <c r="D29" s="17" t="s">
        <v>115</v>
      </c>
      <c r="E29" s="17" t="s">
        <v>31</v>
      </c>
      <c r="F29" s="19"/>
      <c r="G29" s="20">
        <v>1.0</v>
      </c>
      <c r="H29" s="21">
        <v>231.0</v>
      </c>
      <c r="I29" s="21">
        <v>150.0</v>
      </c>
      <c r="J29" s="22">
        <v>363.0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116</v>
      </c>
      <c r="P29" t="s">
        <v>113</v>
      </c>
    </row>
    <row r="30" spans="1:16" customHeight="1" ht="58">
      <c r="A30" s="16"/>
      <c r="B30" s="18" t="s">
        <v>118</v>
      </c>
      <c r="C30" s="17" t="s">
        <v>29</v>
      </c>
      <c r="D30" s="17" t="s">
        <v>119</v>
      </c>
      <c r="E30" s="17" t="s">
        <v>31</v>
      </c>
      <c r="F30" s="19"/>
      <c r="G30" s="20">
        <v>1.0</v>
      </c>
      <c r="H30" s="21">
        <v>231.0</v>
      </c>
      <c r="I30" s="21">
        <v>150.0</v>
      </c>
      <c r="J30" s="22">
        <v>137.0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120</v>
      </c>
      <c r="P30" t="s">
        <v>117</v>
      </c>
    </row>
    <row r="31" spans="1:16" customHeight="1" ht="58">
      <c r="A31" s="16"/>
      <c r="B31" s="18" t="s">
        <v>122</v>
      </c>
      <c r="C31" s="17" t="s">
        <v>29</v>
      </c>
      <c r="D31" s="17" t="s">
        <v>123</v>
      </c>
      <c r="E31" s="17" t="s">
        <v>31</v>
      </c>
      <c r="F31" s="19"/>
      <c r="G31" s="20">
        <v>1.0</v>
      </c>
      <c r="H31" s="21">
        <v>231.0</v>
      </c>
      <c r="I31" s="21">
        <v>150.0</v>
      </c>
      <c r="J31" s="22">
        <v>84.0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124</v>
      </c>
      <c r="P31" t="s">
        <v>121</v>
      </c>
    </row>
    <row r="32" spans="1:16" customHeight="1" ht="58">
      <c r="A32" s="16"/>
      <c r="B32" s="18" t="s">
        <v>126</v>
      </c>
      <c r="C32" s="17" t="s">
        <v>29</v>
      </c>
      <c r="D32" s="17" t="s">
        <v>127</v>
      </c>
      <c r="E32" s="17" t="s">
        <v>31</v>
      </c>
      <c r="F32" s="19"/>
      <c r="G32" s="20">
        <v>1.0</v>
      </c>
      <c r="H32" s="21">
        <v>231.0</v>
      </c>
      <c r="I32" s="21">
        <v>150.0</v>
      </c>
      <c r="J32" s="22">
        <v>162.0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128</v>
      </c>
      <c r="P32" t="s">
        <v>125</v>
      </c>
    </row>
    <row r="33" spans="1:16" customHeight="1" ht="58">
      <c r="A33" s="16"/>
      <c r="B33" s="18" t="s">
        <v>130</v>
      </c>
      <c r="C33" s="17" t="s">
        <v>29</v>
      </c>
      <c r="D33" s="17" t="s">
        <v>131</v>
      </c>
      <c r="E33" s="17" t="s">
        <v>31</v>
      </c>
      <c r="F33" s="19"/>
      <c r="G33" s="20">
        <v>1.0</v>
      </c>
      <c r="H33" s="21">
        <v>231.0</v>
      </c>
      <c r="I33" s="21">
        <v>150.0</v>
      </c>
      <c r="J33" s="22">
        <v>48.0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132</v>
      </c>
      <c r="P33" t="s">
        <v>129</v>
      </c>
    </row>
    <row r="34" spans="1:16" customHeight="1" ht="58">
      <c r="A34" s="16"/>
      <c r="B34" s="18" t="s">
        <v>134</v>
      </c>
      <c r="C34" s="17" t="s">
        <v>29</v>
      </c>
      <c r="D34" s="17" t="s">
        <v>135</v>
      </c>
      <c r="E34" s="17" t="s">
        <v>31</v>
      </c>
      <c r="F34" s="19"/>
      <c r="G34" s="20">
        <v>1.0</v>
      </c>
      <c r="H34" s="21">
        <v>231.0</v>
      </c>
      <c r="I34" s="21">
        <v>150.0</v>
      </c>
      <c r="J34" s="22">
        <v>32.0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136</v>
      </c>
      <c r="P34" t="s">
        <v>133</v>
      </c>
    </row>
    <row r="35" spans="1:16" customHeight="1" ht="58">
      <c r="A35" s="16"/>
      <c r="B35" s="18" t="s">
        <v>138</v>
      </c>
      <c r="C35" s="17" t="s">
        <v>29</v>
      </c>
      <c r="D35" s="17" t="s">
        <v>139</v>
      </c>
      <c r="E35" s="17" t="s">
        <v>31</v>
      </c>
      <c r="F35" s="19"/>
      <c r="G35" s="20">
        <v>1.0</v>
      </c>
      <c r="H35" s="21">
        <v>231.0</v>
      </c>
      <c r="I35" s="21">
        <v>150.0</v>
      </c>
      <c r="J35" s="22">
        <v>195.0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140</v>
      </c>
      <c r="P35" t="s">
        <v>137</v>
      </c>
    </row>
    <row r="36" spans="1:16" customHeight="1" ht="58">
      <c r="A36" s="16"/>
      <c r="B36" s="18" t="s">
        <v>142</v>
      </c>
      <c r="C36" s="17" t="s">
        <v>29</v>
      </c>
      <c r="D36" s="17" t="s">
        <v>143</v>
      </c>
      <c r="E36" s="17" t="s">
        <v>31</v>
      </c>
      <c r="F36" s="19"/>
      <c r="G36" s="20">
        <v>1.0</v>
      </c>
      <c r="H36" s="21">
        <v>231.0</v>
      </c>
      <c r="I36" s="21">
        <v>150.0</v>
      </c>
      <c r="J36" s="22">
        <v>84.0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144</v>
      </c>
      <c r="P36" t="s">
        <v>141</v>
      </c>
    </row>
    <row r="37" spans="1:16" customHeight="1" ht="58">
      <c r="A37" s="16"/>
      <c r="B37" s="18" t="s">
        <v>146</v>
      </c>
      <c r="C37" s="17" t="s">
        <v>29</v>
      </c>
      <c r="D37" s="17" t="s">
        <v>147</v>
      </c>
      <c r="E37" s="17" t="s">
        <v>148</v>
      </c>
      <c r="F37" s="19"/>
      <c r="G37" s="20">
        <v>1.0</v>
      </c>
      <c r="H37" s="21">
        <v>110.0</v>
      </c>
      <c r="I37" s="21">
        <v>70.0</v>
      </c>
      <c r="J37" s="22">
        <v>112.0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149</v>
      </c>
      <c r="P37" t="s">
        <v>145</v>
      </c>
    </row>
    <row r="38" spans="1:16" customHeight="1" ht="58">
      <c r="A38" s="16"/>
      <c r="B38" s="18" t="s">
        <v>151</v>
      </c>
      <c r="C38" s="17" t="s">
        <v>29</v>
      </c>
      <c r="D38" s="17" t="s">
        <v>35</v>
      </c>
      <c r="E38" s="17" t="s">
        <v>152</v>
      </c>
      <c r="F38" s="19"/>
      <c r="G38" s="20">
        <v>1.0</v>
      </c>
      <c r="H38" s="21">
        <v>176.0</v>
      </c>
      <c r="I38" s="21">
        <v>108.0</v>
      </c>
      <c r="J38" s="22">
        <v>581.0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153</v>
      </c>
      <c r="P38" t="s">
        <v>150</v>
      </c>
    </row>
    <row r="39" spans="1:16" customHeight="1" ht="58">
      <c r="A39" s="16"/>
      <c r="B39" s="18" t="s">
        <v>155</v>
      </c>
      <c r="C39" s="17" t="s">
        <v>29</v>
      </c>
      <c r="D39" s="17" t="s">
        <v>156</v>
      </c>
      <c r="E39" s="17" t="s">
        <v>157</v>
      </c>
      <c r="F39" s="19"/>
      <c r="G39" s="20">
        <v>1.0</v>
      </c>
      <c r="H39" s="21">
        <v>176.0</v>
      </c>
      <c r="I39" s="21">
        <v>108.0</v>
      </c>
      <c r="J39" s="22">
        <v>224.0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158</v>
      </c>
      <c r="P39" t="s">
        <v>154</v>
      </c>
    </row>
    <row r="40" spans="1:16" customHeight="1" ht="58">
      <c r="A40" s="16"/>
      <c r="B40" s="18" t="s">
        <v>160</v>
      </c>
      <c r="C40" s="17" t="s">
        <v>29</v>
      </c>
      <c r="D40" s="17" t="s">
        <v>35</v>
      </c>
      <c r="E40" s="17" t="s">
        <v>161</v>
      </c>
      <c r="F40" s="19"/>
      <c r="G40" s="20">
        <v>1.0</v>
      </c>
      <c r="H40" s="21">
        <v>286.0</v>
      </c>
      <c r="I40" s="21">
        <v>183.0</v>
      </c>
      <c r="J40" s="22">
        <v>389.0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162</v>
      </c>
      <c r="P40" t="s">
        <v>159</v>
      </c>
    </row>
    <row r="41" spans="1:16" customHeight="1" ht="58">
      <c r="A41" s="16"/>
      <c r="B41" s="18" t="s">
        <v>164</v>
      </c>
      <c r="C41" s="17" t="s">
        <v>29</v>
      </c>
      <c r="D41" s="17" t="s">
        <v>156</v>
      </c>
      <c r="E41" s="17" t="s">
        <v>165</v>
      </c>
      <c r="F41" s="19"/>
      <c r="G41" s="20">
        <v>1.0</v>
      </c>
      <c r="H41" s="21">
        <v>286.0</v>
      </c>
      <c r="I41" s="21">
        <v>183.0</v>
      </c>
      <c r="J41" s="22">
        <v>208.0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166</v>
      </c>
      <c r="P41" t="s">
        <v>163</v>
      </c>
    </row>
    <row r="42" spans="1:16" customHeight="1" ht="58">
      <c r="A42" s="16"/>
      <c r="B42" s="18" t="s">
        <v>168</v>
      </c>
      <c r="C42" s="17" t="s">
        <v>169</v>
      </c>
      <c r="D42" s="17" t="s">
        <v>170</v>
      </c>
      <c r="E42" s="17" t="s">
        <v>171</v>
      </c>
      <c r="F42" s="19"/>
      <c r="G42" s="20">
        <v>1.0</v>
      </c>
      <c r="H42" s="21">
        <v>82.5</v>
      </c>
      <c r="I42" s="21">
        <v>53.0</v>
      </c>
      <c r="J42" s="22">
        <v>32.0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172</v>
      </c>
      <c r="P42" t="s">
        <v>167</v>
      </c>
    </row>
    <row r="43" spans="1:16" customHeight="1" ht="58">
      <c r="A43" s="16"/>
      <c r="B43" s="18" t="s">
        <v>168</v>
      </c>
      <c r="C43" s="17" t="s">
        <v>169</v>
      </c>
      <c r="D43" s="17" t="s">
        <v>174</v>
      </c>
      <c r="E43" s="17" t="s">
        <v>171</v>
      </c>
      <c r="F43" s="19"/>
      <c r="G43" s="20">
        <v>1.0</v>
      </c>
      <c r="H43" s="21">
        <v>82.5</v>
      </c>
      <c r="I43" s="21">
        <v>53.0</v>
      </c>
      <c r="J43" s="22">
        <v>797.0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172</v>
      </c>
      <c r="P43" t="s">
        <v>173</v>
      </c>
    </row>
    <row r="44" spans="1:16" customHeight="1" ht="58">
      <c r="A44" s="16"/>
      <c r="B44" s="18" t="s">
        <v>168</v>
      </c>
      <c r="C44" s="17" t="s">
        <v>169</v>
      </c>
      <c r="D44" s="17" t="s">
        <v>176</v>
      </c>
      <c r="E44" s="17" t="s">
        <v>171</v>
      </c>
      <c r="F44" s="19"/>
      <c r="G44" s="20">
        <v>1.0</v>
      </c>
      <c r="H44" s="21">
        <v>82.5</v>
      </c>
      <c r="I44" s="21">
        <v>53.0</v>
      </c>
      <c r="J44" s="22">
        <v>457.0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172</v>
      </c>
      <c r="P44" t="s">
        <v>175</v>
      </c>
    </row>
    <row r="45" spans="1:16" customHeight="1" ht="58">
      <c r="A45" s="16"/>
      <c r="B45" s="18" t="s">
        <v>168</v>
      </c>
      <c r="C45" s="17" t="s">
        <v>169</v>
      </c>
      <c r="D45" s="17" t="s">
        <v>178</v>
      </c>
      <c r="E45" s="17" t="s">
        <v>171</v>
      </c>
      <c r="F45" s="19"/>
      <c r="G45" s="20">
        <v>1.0</v>
      </c>
      <c r="H45" s="21">
        <v>82.5</v>
      </c>
      <c r="I45" s="21">
        <v>53.0</v>
      </c>
      <c r="J45" s="22">
        <v>8134.0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172</v>
      </c>
      <c r="P45" t="s">
        <v>177</v>
      </c>
    </row>
    <row r="46" spans="1:16" customHeight="1" ht="58">
      <c r="A46" s="16"/>
      <c r="B46" s="18" t="s">
        <v>168</v>
      </c>
      <c r="C46" s="17" t="s">
        <v>169</v>
      </c>
      <c r="D46" s="17" t="s">
        <v>180</v>
      </c>
      <c r="E46" s="17" t="s">
        <v>171</v>
      </c>
      <c r="F46" s="19"/>
      <c r="G46" s="20">
        <v>1.0</v>
      </c>
      <c r="H46" s="21">
        <v>82.5</v>
      </c>
      <c r="I46" s="21">
        <v>53.0</v>
      </c>
      <c r="J46" s="22">
        <v>26.0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172</v>
      </c>
      <c r="P46" t="s">
        <v>179</v>
      </c>
    </row>
    <row r="47" spans="1:16" customHeight="1" ht="58">
      <c r="A47" s="16"/>
      <c r="B47" s="18" t="s">
        <v>168</v>
      </c>
      <c r="C47" s="17" t="s">
        <v>169</v>
      </c>
      <c r="D47" s="17" t="s">
        <v>182</v>
      </c>
      <c r="E47" s="17" t="s">
        <v>171</v>
      </c>
      <c r="F47" s="19"/>
      <c r="G47" s="20">
        <v>1.0</v>
      </c>
      <c r="H47" s="21">
        <v>82.5</v>
      </c>
      <c r="I47" s="21">
        <v>53.0</v>
      </c>
      <c r="J47" s="22">
        <v>347.0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172</v>
      </c>
      <c r="P47" t="s">
        <v>181</v>
      </c>
    </row>
    <row r="48" spans="1:16" customHeight="1" ht="58">
      <c r="A48" s="16"/>
      <c r="B48" s="18" t="s">
        <v>168</v>
      </c>
      <c r="C48" s="17" t="s">
        <v>169</v>
      </c>
      <c r="D48" s="17" t="s">
        <v>184</v>
      </c>
      <c r="E48" s="17" t="s">
        <v>171</v>
      </c>
      <c r="F48" s="19"/>
      <c r="G48" s="20">
        <v>1.0</v>
      </c>
      <c r="H48" s="21">
        <v>82.5</v>
      </c>
      <c r="I48" s="21">
        <v>53.0</v>
      </c>
      <c r="J48" s="22">
        <v>151.0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172</v>
      </c>
      <c r="P48" t="s">
        <v>183</v>
      </c>
    </row>
    <row r="49" spans="1:16" customHeight="1" ht="58">
      <c r="A49" s="16"/>
      <c r="B49" s="18" t="s">
        <v>168</v>
      </c>
      <c r="C49" s="17" t="s">
        <v>169</v>
      </c>
      <c r="D49" s="17" t="s">
        <v>186</v>
      </c>
      <c r="E49" s="17" t="s">
        <v>171</v>
      </c>
      <c r="F49" s="19"/>
      <c r="G49" s="20">
        <v>1.0</v>
      </c>
      <c r="H49" s="21">
        <v>82.5</v>
      </c>
      <c r="I49" s="21">
        <v>53.0</v>
      </c>
      <c r="J49" s="22">
        <v>29.0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172</v>
      </c>
      <c r="P49" t="s">
        <v>185</v>
      </c>
    </row>
    <row r="50" spans="1:16" customHeight="1" ht="58">
      <c r="A50" s="16"/>
      <c r="B50" s="18" t="s">
        <v>168</v>
      </c>
      <c r="C50" s="17" t="s">
        <v>169</v>
      </c>
      <c r="D50" s="17" t="s">
        <v>188</v>
      </c>
      <c r="E50" s="17" t="s">
        <v>171</v>
      </c>
      <c r="F50" s="19"/>
      <c r="G50" s="20">
        <v>1.0</v>
      </c>
      <c r="H50" s="21">
        <v>82.5</v>
      </c>
      <c r="I50" s="21">
        <v>53.0</v>
      </c>
      <c r="J50" s="22">
        <v>85.0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172</v>
      </c>
      <c r="P50" t="s">
        <v>187</v>
      </c>
    </row>
    <row r="51" spans="1:16" customHeight="1" ht="58">
      <c r="A51" s="16"/>
      <c r="B51" s="18" t="s">
        <v>168</v>
      </c>
      <c r="C51" s="17" t="s">
        <v>169</v>
      </c>
      <c r="D51" s="17" t="s">
        <v>190</v>
      </c>
      <c r="E51" s="17" t="s">
        <v>171</v>
      </c>
      <c r="F51" s="19"/>
      <c r="G51" s="20">
        <v>1.0</v>
      </c>
      <c r="H51" s="21">
        <v>82.5</v>
      </c>
      <c r="I51" s="21">
        <v>53.0</v>
      </c>
      <c r="J51" s="22">
        <v>595.0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172</v>
      </c>
      <c r="P51" t="s">
        <v>189</v>
      </c>
    </row>
    <row r="52" spans="1:16" customHeight="1" ht="58">
      <c r="A52" s="16"/>
      <c r="B52" s="18" t="s">
        <v>168</v>
      </c>
      <c r="C52" s="17" t="s">
        <v>169</v>
      </c>
      <c r="D52" s="17" t="s">
        <v>192</v>
      </c>
      <c r="E52" s="17" t="s">
        <v>171</v>
      </c>
      <c r="F52" s="19"/>
      <c r="G52" s="20">
        <v>1.0</v>
      </c>
      <c r="H52" s="21">
        <v>82.5</v>
      </c>
      <c r="I52" s="21">
        <v>53.0</v>
      </c>
      <c r="J52" s="22">
        <v>190.0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172</v>
      </c>
      <c r="P52" t="s">
        <v>191</v>
      </c>
    </row>
    <row r="53" spans="1:16" customHeight="1" ht="58">
      <c r="A53" s="16"/>
      <c r="B53" s="18" t="s">
        <v>168</v>
      </c>
      <c r="C53" s="17" t="s">
        <v>169</v>
      </c>
      <c r="D53" s="17" t="s">
        <v>194</v>
      </c>
      <c r="E53" s="17" t="s">
        <v>171</v>
      </c>
      <c r="F53" s="19"/>
      <c r="G53" s="20">
        <v>1.0</v>
      </c>
      <c r="H53" s="21">
        <v>82.5</v>
      </c>
      <c r="I53" s="21">
        <v>53.0</v>
      </c>
      <c r="J53" s="22">
        <v>370.0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172</v>
      </c>
      <c r="P53" t="s">
        <v>193</v>
      </c>
    </row>
    <row r="54" spans="1:16" customHeight="1" ht="58">
      <c r="A54" s="16"/>
      <c r="B54" s="18" t="s">
        <v>168</v>
      </c>
      <c r="C54" s="17" t="s">
        <v>169</v>
      </c>
      <c r="D54" s="17" t="s">
        <v>196</v>
      </c>
      <c r="E54" s="17" t="s">
        <v>171</v>
      </c>
      <c r="F54" s="19"/>
      <c r="G54" s="20">
        <v>1.0</v>
      </c>
      <c r="H54" s="21">
        <v>82.5</v>
      </c>
      <c r="I54" s="21">
        <v>53.0</v>
      </c>
      <c r="J54" s="22">
        <v>838.0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172</v>
      </c>
      <c r="P54" t="s">
        <v>195</v>
      </c>
    </row>
    <row r="55" spans="1:16" customHeight="1" ht="58">
      <c r="A55" s="16"/>
      <c r="B55" s="18" t="s">
        <v>168</v>
      </c>
      <c r="C55" s="17" t="s">
        <v>169</v>
      </c>
      <c r="D55" s="17" t="s">
        <v>198</v>
      </c>
      <c r="E55" s="17" t="s">
        <v>171</v>
      </c>
      <c r="F55" s="19"/>
      <c r="G55" s="20">
        <v>1.0</v>
      </c>
      <c r="H55" s="21">
        <v>82.5</v>
      </c>
      <c r="I55" s="21">
        <v>53.0</v>
      </c>
      <c r="J55" s="22">
        <v>983.0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172</v>
      </c>
      <c r="P55" t="s">
        <v>197</v>
      </c>
    </row>
    <row r="56" spans="1:16" customHeight="1" ht="58">
      <c r="A56" s="16"/>
      <c r="B56" s="18" t="s">
        <v>168</v>
      </c>
      <c r="C56" s="17" t="s">
        <v>169</v>
      </c>
      <c r="D56" s="17" t="s">
        <v>200</v>
      </c>
      <c r="E56" s="17" t="s">
        <v>171</v>
      </c>
      <c r="F56" s="19"/>
      <c r="G56" s="20">
        <v>1.0</v>
      </c>
      <c r="H56" s="21">
        <v>82.5</v>
      </c>
      <c r="I56" s="21">
        <v>53.0</v>
      </c>
      <c r="J56" s="22">
        <v>264.0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172</v>
      </c>
      <c r="P56" t="s">
        <v>199</v>
      </c>
    </row>
    <row r="57" spans="1:16" customHeight="1" ht="58">
      <c r="A57" s="16"/>
      <c r="B57" s="18" t="s">
        <v>168</v>
      </c>
      <c r="C57" s="17" t="s">
        <v>169</v>
      </c>
      <c r="D57" s="17" t="s">
        <v>202</v>
      </c>
      <c r="E57" s="17" t="s">
        <v>171</v>
      </c>
      <c r="F57" s="19"/>
      <c r="G57" s="20">
        <v>1.0</v>
      </c>
      <c r="H57" s="21">
        <v>82.5</v>
      </c>
      <c r="I57" s="21">
        <v>53.0</v>
      </c>
      <c r="J57" s="22">
        <v>153.0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172</v>
      </c>
      <c r="P57" t="s">
        <v>201</v>
      </c>
    </row>
    <row r="58" spans="1:16" customHeight="1" ht="58">
      <c r="A58" s="16"/>
      <c r="B58" s="18" t="s">
        <v>168</v>
      </c>
      <c r="C58" s="17" t="s">
        <v>169</v>
      </c>
      <c r="D58" s="17" t="s">
        <v>204</v>
      </c>
      <c r="E58" s="17" t="s">
        <v>171</v>
      </c>
      <c r="F58" s="19"/>
      <c r="G58" s="20">
        <v>1.0</v>
      </c>
      <c r="H58" s="21">
        <v>82.5</v>
      </c>
      <c r="I58" s="21">
        <v>53.0</v>
      </c>
      <c r="J58" s="22">
        <v>1.0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172</v>
      </c>
      <c r="P58" t="s">
        <v>203</v>
      </c>
    </row>
    <row r="59" spans="1:16" customHeight="1" ht="58">
      <c r="A59" s="16"/>
      <c r="B59" s="18" t="s">
        <v>168</v>
      </c>
      <c r="C59" s="17" t="s">
        <v>169</v>
      </c>
      <c r="D59" s="17" t="s">
        <v>206</v>
      </c>
      <c r="E59" s="17" t="s">
        <v>171</v>
      </c>
      <c r="F59" s="19"/>
      <c r="G59" s="20">
        <v>1.0</v>
      </c>
      <c r="H59" s="21">
        <v>82.5</v>
      </c>
      <c r="I59" s="21">
        <v>53.0</v>
      </c>
      <c r="J59" s="22">
        <v>226.0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172</v>
      </c>
      <c r="P59" t="s">
        <v>205</v>
      </c>
    </row>
    <row r="60" spans="1:16" customHeight="1" ht="58">
      <c r="A60" s="16"/>
      <c r="B60" s="18" t="s">
        <v>168</v>
      </c>
      <c r="C60" s="17" t="s">
        <v>169</v>
      </c>
      <c r="D60" s="17" t="s">
        <v>208</v>
      </c>
      <c r="E60" s="17" t="s">
        <v>171</v>
      </c>
      <c r="F60" s="19"/>
      <c r="G60" s="20">
        <v>1.0</v>
      </c>
      <c r="H60" s="21">
        <v>82.5</v>
      </c>
      <c r="I60" s="21">
        <v>53.0</v>
      </c>
      <c r="J60" s="22">
        <v>75.0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172</v>
      </c>
      <c r="P60" t="s">
        <v>207</v>
      </c>
    </row>
    <row r="61" spans="1:16" customHeight="1" ht="58">
      <c r="A61" s="16"/>
      <c r="B61" s="18" t="s">
        <v>168</v>
      </c>
      <c r="C61" s="17" t="s">
        <v>169</v>
      </c>
      <c r="D61" s="17" t="s">
        <v>210</v>
      </c>
      <c r="E61" s="17" t="s">
        <v>171</v>
      </c>
      <c r="F61" s="19"/>
      <c r="G61" s="20">
        <v>1.0</v>
      </c>
      <c r="H61" s="21">
        <v>82.5</v>
      </c>
      <c r="I61" s="21">
        <v>53.0</v>
      </c>
      <c r="J61" s="22">
        <v>35.0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172</v>
      </c>
      <c r="P61" t="s">
        <v>209</v>
      </c>
    </row>
    <row r="62" spans="1:16" customHeight="1" ht="58">
      <c r="A62" s="16"/>
      <c r="B62" s="18" t="s">
        <v>168</v>
      </c>
      <c r="C62" s="17" t="s">
        <v>169</v>
      </c>
      <c r="D62" s="17" t="s">
        <v>212</v>
      </c>
      <c r="E62" s="17" t="s">
        <v>171</v>
      </c>
      <c r="F62" s="19"/>
      <c r="G62" s="20">
        <v>1.0</v>
      </c>
      <c r="H62" s="21">
        <v>82.5</v>
      </c>
      <c r="I62" s="21">
        <v>53.0</v>
      </c>
      <c r="J62" s="22">
        <v>2330.0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172</v>
      </c>
      <c r="P62" t="s">
        <v>211</v>
      </c>
    </row>
    <row r="63" spans="1:16" customHeight="1" ht="58">
      <c r="A63" s="16"/>
      <c r="B63" s="18" t="s">
        <v>168</v>
      </c>
      <c r="C63" s="17" t="s">
        <v>169</v>
      </c>
      <c r="D63" s="17" t="s">
        <v>214</v>
      </c>
      <c r="E63" s="17" t="s">
        <v>171</v>
      </c>
      <c r="F63" s="19"/>
      <c r="G63" s="20">
        <v>1.0</v>
      </c>
      <c r="H63" s="21">
        <v>82.5</v>
      </c>
      <c r="I63" s="21">
        <v>53.0</v>
      </c>
      <c r="J63" s="22">
        <v>38.0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172</v>
      </c>
      <c r="P63" t="s">
        <v>213</v>
      </c>
    </row>
    <row r="64" spans="1:16" customHeight="1" ht="58">
      <c r="A64" s="16"/>
      <c r="B64" s="18" t="s">
        <v>216</v>
      </c>
      <c r="C64" s="17" t="s">
        <v>169</v>
      </c>
      <c r="D64" s="17" t="s">
        <v>217</v>
      </c>
      <c r="E64" s="17" t="s">
        <v>218</v>
      </c>
      <c r="F64" s="19"/>
      <c r="G64" s="20">
        <v>1.0</v>
      </c>
      <c r="H64" s="21">
        <v>176.0</v>
      </c>
      <c r="I64" s="21">
        <v>107.0</v>
      </c>
      <c r="J64" s="22">
        <v>17.0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219</v>
      </c>
      <c r="P64" t="s">
        <v>215</v>
      </c>
    </row>
    <row r="65" spans="1:16" customHeight="1" ht="58">
      <c r="A65" s="16"/>
      <c r="B65" s="18" t="s">
        <v>216</v>
      </c>
      <c r="C65" s="17" t="s">
        <v>169</v>
      </c>
      <c r="D65" s="17" t="s">
        <v>194</v>
      </c>
      <c r="E65" s="17" t="s">
        <v>218</v>
      </c>
      <c r="F65" s="19"/>
      <c r="G65" s="20">
        <v>1.0</v>
      </c>
      <c r="H65" s="21">
        <v>176.0</v>
      </c>
      <c r="I65" s="21">
        <v>107.0</v>
      </c>
      <c r="J65" s="22">
        <v>24.0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219</v>
      </c>
      <c r="P65" t="s">
        <v>220</v>
      </c>
    </row>
    <row r="66" spans="1:16" customHeight="1" ht="58">
      <c r="A66" s="16"/>
      <c r="B66" s="18" t="s">
        <v>216</v>
      </c>
      <c r="C66" s="17" t="s">
        <v>169</v>
      </c>
      <c r="D66" s="17" t="s">
        <v>196</v>
      </c>
      <c r="E66" s="17" t="s">
        <v>218</v>
      </c>
      <c r="F66" s="19"/>
      <c r="G66" s="20">
        <v>1.0</v>
      </c>
      <c r="H66" s="21">
        <v>176.0</v>
      </c>
      <c r="I66" s="21">
        <v>107.0</v>
      </c>
      <c r="J66" s="22">
        <v>36.0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219</v>
      </c>
      <c r="P66" t="s">
        <v>221</v>
      </c>
    </row>
    <row r="67" spans="1:16" customHeight="1" ht="58">
      <c r="A67" s="16"/>
      <c r="B67" s="18" t="s">
        <v>216</v>
      </c>
      <c r="C67" s="17" t="s">
        <v>169</v>
      </c>
      <c r="D67" s="17" t="s">
        <v>212</v>
      </c>
      <c r="E67" s="17" t="s">
        <v>218</v>
      </c>
      <c r="F67" s="19"/>
      <c r="G67" s="20">
        <v>1.0</v>
      </c>
      <c r="H67" s="21">
        <v>176.0</v>
      </c>
      <c r="I67" s="21">
        <v>107.0</v>
      </c>
      <c r="J67" s="22">
        <v>31.0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219</v>
      </c>
      <c r="P67" t="s">
        <v>222</v>
      </c>
    </row>
    <row r="68" spans="1:16" customHeight="1" ht="58">
      <c r="A68" s="16"/>
      <c r="B68" s="18" t="s">
        <v>216</v>
      </c>
      <c r="C68" s="17" t="s">
        <v>169</v>
      </c>
      <c r="D68" s="17" t="s">
        <v>176</v>
      </c>
      <c r="E68" s="17" t="s">
        <v>218</v>
      </c>
      <c r="F68" s="19"/>
      <c r="G68" s="20">
        <v>1.0</v>
      </c>
      <c r="H68" s="21">
        <v>176.0</v>
      </c>
      <c r="I68" s="21">
        <v>107.0</v>
      </c>
      <c r="J68" s="22">
        <v>1.0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219</v>
      </c>
      <c r="P68" t="s">
        <v>223</v>
      </c>
    </row>
    <row r="69" spans="1:16" customHeight="1" ht="58">
      <c r="A69" s="16"/>
      <c r="B69" s="18" t="s">
        <v>216</v>
      </c>
      <c r="C69" s="17" t="s">
        <v>169</v>
      </c>
      <c r="D69" s="17" t="s">
        <v>225</v>
      </c>
      <c r="E69" s="17" t="s">
        <v>218</v>
      </c>
      <c r="F69" s="19"/>
      <c r="G69" s="20">
        <v>1.0</v>
      </c>
      <c r="H69" s="21">
        <v>176.0</v>
      </c>
      <c r="I69" s="21">
        <v>107.0</v>
      </c>
      <c r="J69" s="22">
        <v>212.0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219</v>
      </c>
      <c r="P69" t="s">
        <v>224</v>
      </c>
    </row>
    <row r="70" spans="1:16" customHeight="1" ht="58">
      <c r="A70" s="16"/>
      <c r="B70" s="18" t="s">
        <v>216</v>
      </c>
      <c r="C70" s="17" t="s">
        <v>169</v>
      </c>
      <c r="D70" s="17" t="s">
        <v>210</v>
      </c>
      <c r="E70" s="17" t="s">
        <v>218</v>
      </c>
      <c r="F70" s="19"/>
      <c r="G70" s="20">
        <v>1.0</v>
      </c>
      <c r="H70" s="21">
        <v>176.0</v>
      </c>
      <c r="I70" s="21">
        <v>107.0</v>
      </c>
      <c r="J70" s="22">
        <v>125.0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219</v>
      </c>
      <c r="P70" t="s">
        <v>226</v>
      </c>
    </row>
    <row r="71" spans="1:16" customHeight="1" ht="58">
      <c r="A71" s="16"/>
      <c r="B71" s="18" t="s">
        <v>228</v>
      </c>
      <c r="C71" s="17" t="s">
        <v>169</v>
      </c>
      <c r="D71" s="17" t="s">
        <v>229</v>
      </c>
      <c r="E71" s="17" t="s">
        <v>230</v>
      </c>
      <c r="F71" s="19"/>
      <c r="G71" s="20">
        <v>1.0</v>
      </c>
      <c r="H71" s="21">
        <v>110.0</v>
      </c>
      <c r="I71" s="21">
        <v>69.0</v>
      </c>
      <c r="J71" s="22">
        <v>205.0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231</v>
      </c>
      <c r="P71" t="s">
        <v>227</v>
      </c>
    </row>
    <row r="72" spans="1:16" customHeight="1" ht="58">
      <c r="A72" s="16"/>
      <c r="B72" s="18" t="s">
        <v>233</v>
      </c>
      <c r="C72" s="17" t="s">
        <v>169</v>
      </c>
      <c r="D72" s="17" t="s">
        <v>234</v>
      </c>
      <c r="E72" s="17" t="s">
        <v>235</v>
      </c>
      <c r="F72" s="19"/>
      <c r="G72" s="20">
        <v>1.0</v>
      </c>
      <c r="H72" s="21">
        <v>99.0</v>
      </c>
      <c r="I72" s="21">
        <v>66.0</v>
      </c>
      <c r="J72" s="22">
        <v>63.0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236</v>
      </c>
      <c r="P72" t="s">
        <v>232</v>
      </c>
    </row>
    <row r="73" spans="1:16" customHeight="1" ht="58">
      <c r="A73" s="16"/>
      <c r="B73" s="18" t="s">
        <v>238</v>
      </c>
      <c r="C73" s="17" t="s">
        <v>169</v>
      </c>
      <c r="D73" s="17" t="s">
        <v>239</v>
      </c>
      <c r="E73" s="17" t="s">
        <v>240</v>
      </c>
      <c r="F73" s="19"/>
      <c r="G73" s="20">
        <v>1.0</v>
      </c>
      <c r="H73" s="21">
        <v>110.0</v>
      </c>
      <c r="I73" s="21">
        <v>69.0</v>
      </c>
      <c r="J73" s="22">
        <v>74.0</v>
      </c>
      <c r="K73" s="50"/>
      <c r="L73" s="21" t="str">
        <f>IF(K73&gt;0,K73*I73,"")</f>
      </c>
      <c r="M73" s="52"/>
      <c r="N73" t="str">
        <f>IF(K73&gt;0,COUNTIF($K$7:K73,"&gt;0"),"")</f>
      </c>
      <c r="P73" t="s">
        <v>237</v>
      </c>
    </row>
    <row r="74" spans="1:16" customHeight="1" ht="58">
      <c r="A74" s="16"/>
      <c r="B74" s="18" t="s">
        <v>242</v>
      </c>
      <c r="C74" s="17" t="s">
        <v>169</v>
      </c>
      <c r="D74" s="17" t="s">
        <v>243</v>
      </c>
      <c r="E74" s="17" t="s">
        <v>244</v>
      </c>
      <c r="F74" s="19"/>
      <c r="G74" s="20">
        <v>1.0</v>
      </c>
      <c r="H74" s="21">
        <v>110.0</v>
      </c>
      <c r="I74" s="21">
        <v>69.0</v>
      </c>
      <c r="J74" s="22">
        <v>101.0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245</v>
      </c>
      <c r="P74" t="s">
        <v>241</v>
      </c>
    </row>
    <row r="75" spans="1:16" customHeight="1" ht="58">
      <c r="A75" s="16"/>
      <c r="B75" s="18" t="s">
        <v>247</v>
      </c>
      <c r="C75" s="17" t="s">
        <v>169</v>
      </c>
      <c r="D75" s="17" t="s">
        <v>248</v>
      </c>
      <c r="E75" s="17" t="s">
        <v>249</v>
      </c>
      <c r="F75" s="19"/>
      <c r="G75" s="20">
        <v>1.0</v>
      </c>
      <c r="H75" s="21">
        <v>165.0</v>
      </c>
      <c r="I75" s="21">
        <v>104.0</v>
      </c>
      <c r="J75" s="22">
        <v>25.0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250</v>
      </c>
      <c r="P75" t="s">
        <v>246</v>
      </c>
    </row>
    <row r="76" spans="1:16" customHeight="1" ht="58">
      <c r="A76" s="16"/>
      <c r="B76" s="18" t="s">
        <v>252</v>
      </c>
      <c r="C76" s="17" t="s">
        <v>169</v>
      </c>
      <c r="D76" s="17" t="s">
        <v>253</v>
      </c>
      <c r="E76" s="17" t="s">
        <v>254</v>
      </c>
      <c r="F76" s="19"/>
      <c r="G76" s="20">
        <v>1.0</v>
      </c>
      <c r="H76" s="21">
        <v>165.0</v>
      </c>
      <c r="I76" s="21">
        <v>104.0</v>
      </c>
      <c r="J76" s="22">
        <v>127.0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255</v>
      </c>
      <c r="P76" t="s">
        <v>251</v>
      </c>
    </row>
    <row r="77" spans="1:16" customHeight="1" ht="58">
      <c r="A77" s="16"/>
      <c r="B77" s="18" t="s">
        <v>257</v>
      </c>
      <c r="C77" s="17" t="s">
        <v>169</v>
      </c>
      <c r="D77" s="17" t="s">
        <v>258</v>
      </c>
      <c r="E77" s="17" t="s">
        <v>259</v>
      </c>
      <c r="F77" s="19"/>
      <c r="G77" s="20">
        <v>1.0</v>
      </c>
      <c r="H77" s="21">
        <v>28.0</v>
      </c>
      <c r="I77" s="21">
        <v>28.0</v>
      </c>
      <c r="J77" s="22">
        <v>8724.0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260</v>
      </c>
      <c r="P77" t="s">
        <v>256</v>
      </c>
    </row>
    <row r="78" spans="1:16" customHeight="1" ht="58">
      <c r="A78" s="16"/>
      <c r="B78" s="18" t="s">
        <v>257</v>
      </c>
      <c r="C78" s="17" t="s">
        <v>169</v>
      </c>
      <c r="D78" s="17" t="s">
        <v>262</v>
      </c>
      <c r="E78" s="17" t="s">
        <v>259</v>
      </c>
      <c r="F78" s="19"/>
      <c r="G78" s="20">
        <v>1.0</v>
      </c>
      <c r="H78" s="21">
        <v>28.0</v>
      </c>
      <c r="I78" s="21">
        <v>28.0</v>
      </c>
      <c r="J78" s="22">
        <v>8623.0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263</v>
      </c>
      <c r="P78" t="s">
        <v>261</v>
      </c>
    </row>
    <row r="79" spans="1:16" customHeight="1" ht="58">
      <c r="A79" s="16"/>
      <c r="B79" s="18" t="s">
        <v>257</v>
      </c>
      <c r="C79" s="17" t="s">
        <v>169</v>
      </c>
      <c r="D79" s="17" t="s">
        <v>265</v>
      </c>
      <c r="E79" s="17" t="s">
        <v>259</v>
      </c>
      <c r="F79" s="19"/>
      <c r="G79" s="20">
        <v>1.0</v>
      </c>
      <c r="H79" s="21">
        <v>28.0</v>
      </c>
      <c r="I79" s="21">
        <v>28.0</v>
      </c>
      <c r="J79" s="22">
        <v>10555.0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266</v>
      </c>
      <c r="P79" t="s">
        <v>264</v>
      </c>
    </row>
    <row r="80" spans="1:16" customHeight="1" ht="58">
      <c r="A80" s="16"/>
      <c r="B80" s="18" t="s">
        <v>257</v>
      </c>
      <c r="C80" s="17" t="s">
        <v>169</v>
      </c>
      <c r="D80" s="17" t="s">
        <v>268</v>
      </c>
      <c r="E80" s="17" t="s">
        <v>259</v>
      </c>
      <c r="F80" s="19"/>
      <c r="G80" s="20">
        <v>1.0</v>
      </c>
      <c r="H80" s="21">
        <v>28.0</v>
      </c>
      <c r="I80" s="21">
        <v>28.0</v>
      </c>
      <c r="J80" s="22">
        <v>2039.0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269</v>
      </c>
      <c r="P80" t="s">
        <v>267</v>
      </c>
    </row>
    <row r="81" spans="1:16" customHeight="1" ht="58">
      <c r="A81" s="16"/>
      <c r="B81" s="18" t="s">
        <v>257</v>
      </c>
      <c r="C81" s="17" t="s">
        <v>169</v>
      </c>
      <c r="D81" s="17" t="s">
        <v>271</v>
      </c>
      <c r="E81" s="17" t="s">
        <v>259</v>
      </c>
      <c r="F81" s="19"/>
      <c r="G81" s="20">
        <v>1.0</v>
      </c>
      <c r="H81" s="21">
        <v>28.0</v>
      </c>
      <c r="I81" s="21">
        <v>28.0</v>
      </c>
      <c r="J81" s="22">
        <v>7369.0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272</v>
      </c>
      <c r="P81" t="s">
        <v>270</v>
      </c>
    </row>
    <row r="82" spans="1:16" customHeight="1" ht="58">
      <c r="A82" s="16"/>
      <c r="B82" s="18" t="s">
        <v>257</v>
      </c>
      <c r="C82" s="17" t="s">
        <v>169</v>
      </c>
      <c r="D82" s="17" t="s">
        <v>274</v>
      </c>
      <c r="E82" s="17" t="s">
        <v>259</v>
      </c>
      <c r="F82" s="19"/>
      <c r="G82" s="20">
        <v>1.0</v>
      </c>
      <c r="H82" s="21">
        <v>28.0</v>
      </c>
      <c r="I82" s="21">
        <v>28.0</v>
      </c>
      <c r="J82" s="22">
        <v>4937.0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275</v>
      </c>
      <c r="P82" t="s">
        <v>273</v>
      </c>
    </row>
    <row r="83" spans="1:16" customHeight="1" ht="58">
      <c r="A83" s="16"/>
      <c r="B83" s="18" t="s">
        <v>257</v>
      </c>
      <c r="C83" s="17" t="s">
        <v>169</v>
      </c>
      <c r="D83" s="17" t="s">
        <v>277</v>
      </c>
      <c r="E83" s="17" t="s">
        <v>259</v>
      </c>
      <c r="F83" s="19"/>
      <c r="G83" s="20">
        <v>1.0</v>
      </c>
      <c r="H83" s="21">
        <v>28.0</v>
      </c>
      <c r="I83" s="21">
        <v>28.0</v>
      </c>
      <c r="J83" s="22">
        <v>2060.0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278</v>
      </c>
      <c r="P83" t="s">
        <v>276</v>
      </c>
    </row>
    <row r="84" spans="1:16" customHeight="1" ht="58">
      <c r="A84" s="16"/>
      <c r="B84" s="18" t="s">
        <v>257</v>
      </c>
      <c r="C84" s="17" t="s">
        <v>169</v>
      </c>
      <c r="D84" s="17" t="s">
        <v>280</v>
      </c>
      <c r="E84" s="17" t="s">
        <v>259</v>
      </c>
      <c r="F84" s="19"/>
      <c r="G84" s="20">
        <v>1.0</v>
      </c>
      <c r="H84" s="21">
        <v>28.0</v>
      </c>
      <c r="I84" s="21">
        <v>28.0</v>
      </c>
      <c r="J84" s="22">
        <v>5449.0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281</v>
      </c>
      <c r="P84" t="s">
        <v>279</v>
      </c>
    </row>
    <row r="85" spans="1:16" customHeight="1" ht="58">
      <c r="A85" s="16"/>
      <c r="B85" s="18" t="s">
        <v>257</v>
      </c>
      <c r="C85" s="17" t="s">
        <v>169</v>
      </c>
      <c r="D85" s="17" t="s">
        <v>283</v>
      </c>
      <c r="E85" s="17" t="s">
        <v>259</v>
      </c>
      <c r="F85" s="19"/>
      <c r="G85" s="20">
        <v>1.0</v>
      </c>
      <c r="H85" s="21">
        <v>28.0</v>
      </c>
      <c r="I85" s="21">
        <v>28.0</v>
      </c>
      <c r="J85" s="22">
        <v>9432.0</v>
      </c>
      <c r="K85" s="50"/>
      <c r="L85" s="21" t="str">
        <f>IF(K85&gt;0,K85*I85,"")</f>
      </c>
      <c r="M85" s="52"/>
      <c r="N85" t="str">
        <f>IF(K85&gt;0,COUNTIF($K$7:K85,"&gt;0"),"")</f>
      </c>
      <c r="O85" t="s">
        <v>284</v>
      </c>
      <c r="P85" t="s">
        <v>282</v>
      </c>
    </row>
    <row r="86" spans="1:16" customHeight="1" ht="58">
      <c r="A86" s="16"/>
      <c r="B86" s="18" t="s">
        <v>257</v>
      </c>
      <c r="C86" s="17" t="s">
        <v>169</v>
      </c>
      <c r="D86" s="17" t="s">
        <v>286</v>
      </c>
      <c r="E86" s="17" t="s">
        <v>259</v>
      </c>
      <c r="F86" s="19"/>
      <c r="G86" s="20">
        <v>1.0</v>
      </c>
      <c r="H86" s="21">
        <v>28.0</v>
      </c>
      <c r="I86" s="21">
        <v>28.0</v>
      </c>
      <c r="J86" s="22">
        <v>2866.0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287</v>
      </c>
      <c r="P86" t="s">
        <v>285</v>
      </c>
    </row>
    <row r="87" spans="1:16" customHeight="1" ht="58">
      <c r="A87" s="16"/>
      <c r="B87" s="18" t="s">
        <v>257</v>
      </c>
      <c r="C87" s="17" t="s">
        <v>169</v>
      </c>
      <c r="D87" s="17" t="s">
        <v>289</v>
      </c>
      <c r="E87" s="17" t="s">
        <v>259</v>
      </c>
      <c r="F87" s="19"/>
      <c r="G87" s="20">
        <v>1.0</v>
      </c>
      <c r="H87" s="21">
        <v>28.0</v>
      </c>
      <c r="I87" s="21">
        <v>28.0</v>
      </c>
      <c r="J87" s="22">
        <v>4019.0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290</v>
      </c>
      <c r="P87" t="s">
        <v>288</v>
      </c>
    </row>
    <row r="88" spans="1:16" customHeight="1" ht="58">
      <c r="A88" s="16"/>
      <c r="B88" s="18" t="s">
        <v>257</v>
      </c>
      <c r="C88" s="17" t="s">
        <v>169</v>
      </c>
      <c r="D88" s="17" t="s">
        <v>292</v>
      </c>
      <c r="E88" s="17" t="s">
        <v>259</v>
      </c>
      <c r="F88" s="19"/>
      <c r="G88" s="20">
        <v>1.0</v>
      </c>
      <c r="H88" s="21">
        <v>28.0</v>
      </c>
      <c r="I88" s="21">
        <v>28.0</v>
      </c>
      <c r="J88" s="22">
        <v>10824.0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293</v>
      </c>
      <c r="P88" t="s">
        <v>291</v>
      </c>
    </row>
    <row r="89" spans="1:16" customHeight="1" ht="58">
      <c r="A89" s="16"/>
      <c r="B89" s="18" t="s">
        <v>257</v>
      </c>
      <c r="C89" s="17" t="s">
        <v>169</v>
      </c>
      <c r="D89" s="17" t="s">
        <v>295</v>
      </c>
      <c r="E89" s="17" t="s">
        <v>259</v>
      </c>
      <c r="F89" s="19"/>
      <c r="G89" s="20">
        <v>1.0</v>
      </c>
      <c r="H89" s="21">
        <v>28.0</v>
      </c>
      <c r="I89" s="21">
        <v>28.0</v>
      </c>
      <c r="J89" s="22">
        <v>6617.0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296</v>
      </c>
      <c r="P89" t="s">
        <v>294</v>
      </c>
    </row>
    <row r="90" spans="1:16" customHeight="1" ht="58">
      <c r="A90" s="16"/>
      <c r="B90" s="18" t="s">
        <v>257</v>
      </c>
      <c r="C90" s="17" t="s">
        <v>169</v>
      </c>
      <c r="D90" s="17" t="s">
        <v>298</v>
      </c>
      <c r="E90" s="17" t="s">
        <v>259</v>
      </c>
      <c r="F90" s="19"/>
      <c r="G90" s="20">
        <v>1.0</v>
      </c>
      <c r="H90" s="21">
        <v>28.0</v>
      </c>
      <c r="I90" s="21">
        <v>28.0</v>
      </c>
      <c r="J90" s="22">
        <v>9345.0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299</v>
      </c>
      <c r="P90" t="s">
        <v>297</v>
      </c>
    </row>
    <row r="91" spans="1:16" customHeight="1" ht="58">
      <c r="A91" s="16"/>
      <c r="B91" s="18" t="s">
        <v>257</v>
      </c>
      <c r="C91" s="17" t="s">
        <v>169</v>
      </c>
      <c r="D91" s="17" t="s">
        <v>301</v>
      </c>
      <c r="E91" s="17" t="s">
        <v>259</v>
      </c>
      <c r="F91" s="19"/>
      <c r="G91" s="20">
        <v>1.0</v>
      </c>
      <c r="H91" s="21">
        <v>28.0</v>
      </c>
      <c r="I91" s="21">
        <v>28.0</v>
      </c>
      <c r="J91" s="22">
        <v>9159.0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302</v>
      </c>
      <c r="P91" t="s">
        <v>300</v>
      </c>
    </row>
    <row r="92" spans="1:16" customHeight="1" ht="58">
      <c r="A92" s="16"/>
      <c r="B92" s="18" t="s">
        <v>257</v>
      </c>
      <c r="C92" s="17" t="s">
        <v>169</v>
      </c>
      <c r="D92" s="17" t="s">
        <v>304</v>
      </c>
      <c r="E92" s="17" t="s">
        <v>259</v>
      </c>
      <c r="F92" s="19"/>
      <c r="G92" s="20">
        <v>1.0</v>
      </c>
      <c r="H92" s="21">
        <v>28.0</v>
      </c>
      <c r="I92" s="21">
        <v>28.0</v>
      </c>
      <c r="J92" s="22">
        <v>7815.0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305</v>
      </c>
      <c r="P92" t="s">
        <v>303</v>
      </c>
    </row>
    <row r="93" spans="1:16" customHeight="1" ht="58">
      <c r="A93" s="16"/>
      <c r="B93" s="18" t="s">
        <v>257</v>
      </c>
      <c r="C93" s="17" t="s">
        <v>169</v>
      </c>
      <c r="D93" s="17" t="s">
        <v>307</v>
      </c>
      <c r="E93" s="17" t="s">
        <v>259</v>
      </c>
      <c r="F93" s="19"/>
      <c r="G93" s="20">
        <v>1.0</v>
      </c>
      <c r="H93" s="21">
        <v>28.0</v>
      </c>
      <c r="I93" s="21">
        <v>28.0</v>
      </c>
      <c r="J93" s="22">
        <v>9647.0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308</v>
      </c>
      <c r="P93" t="s">
        <v>306</v>
      </c>
    </row>
    <row r="94" spans="1:16" customHeight="1" ht="58">
      <c r="A94" s="16"/>
      <c r="B94" s="18" t="s">
        <v>257</v>
      </c>
      <c r="C94" s="17" t="s">
        <v>169</v>
      </c>
      <c r="D94" s="17" t="s">
        <v>310</v>
      </c>
      <c r="E94" s="17" t="s">
        <v>259</v>
      </c>
      <c r="F94" s="19"/>
      <c r="G94" s="20">
        <v>1.0</v>
      </c>
      <c r="H94" s="21">
        <v>28.0</v>
      </c>
      <c r="I94" s="21">
        <v>28.0</v>
      </c>
      <c r="J94" s="22">
        <v>7127.0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311</v>
      </c>
      <c r="P94" t="s">
        <v>309</v>
      </c>
    </row>
    <row r="95" spans="1:16" customHeight="1" ht="58">
      <c r="A95" s="16"/>
      <c r="B95" s="18" t="s">
        <v>257</v>
      </c>
      <c r="C95" s="17" t="s">
        <v>169</v>
      </c>
      <c r="D95" s="17" t="s">
        <v>313</v>
      </c>
      <c r="E95" s="17" t="s">
        <v>259</v>
      </c>
      <c r="F95" s="19"/>
      <c r="G95" s="20">
        <v>1.0</v>
      </c>
      <c r="H95" s="21">
        <v>28.0</v>
      </c>
      <c r="I95" s="21">
        <v>28.0</v>
      </c>
      <c r="J95" s="22">
        <v>2979.0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314</v>
      </c>
      <c r="P95" t="s">
        <v>312</v>
      </c>
    </row>
    <row r="96" spans="1:16" customHeight="1" ht="58">
      <c r="A96" s="16"/>
      <c r="B96" s="18" t="s">
        <v>257</v>
      </c>
      <c r="C96" s="17" t="s">
        <v>169</v>
      </c>
      <c r="D96" s="17" t="s">
        <v>316</v>
      </c>
      <c r="E96" s="17" t="s">
        <v>259</v>
      </c>
      <c r="F96" s="19"/>
      <c r="G96" s="20">
        <v>1.0</v>
      </c>
      <c r="H96" s="21">
        <v>28.0</v>
      </c>
      <c r="I96" s="21">
        <v>28.0</v>
      </c>
      <c r="J96" s="22">
        <v>7208.0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317</v>
      </c>
      <c r="P96" t="s">
        <v>315</v>
      </c>
    </row>
    <row r="97" spans="1:16" customHeight="1" ht="58">
      <c r="A97" s="16"/>
      <c r="B97" s="18" t="s">
        <v>257</v>
      </c>
      <c r="C97" s="17" t="s">
        <v>169</v>
      </c>
      <c r="D97" s="17" t="s">
        <v>319</v>
      </c>
      <c r="E97" s="17" t="s">
        <v>259</v>
      </c>
      <c r="F97" s="19"/>
      <c r="G97" s="20">
        <v>1.0</v>
      </c>
      <c r="H97" s="21">
        <v>28.0</v>
      </c>
      <c r="I97" s="21">
        <v>28.0</v>
      </c>
      <c r="J97" s="22">
        <v>7267.0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320</v>
      </c>
      <c r="P97" t="s">
        <v>318</v>
      </c>
    </row>
    <row r="98" spans="1:16" customHeight="1" ht="58">
      <c r="A98" s="16"/>
      <c r="B98" s="18" t="s">
        <v>257</v>
      </c>
      <c r="C98" s="17" t="s">
        <v>169</v>
      </c>
      <c r="D98" s="17" t="s">
        <v>322</v>
      </c>
      <c r="E98" s="17" t="s">
        <v>259</v>
      </c>
      <c r="F98" s="19"/>
      <c r="G98" s="20">
        <v>1.0</v>
      </c>
      <c r="H98" s="21">
        <v>28.0</v>
      </c>
      <c r="I98" s="21">
        <v>28.0</v>
      </c>
      <c r="J98" s="22">
        <v>5759.0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323</v>
      </c>
      <c r="P98" t="s">
        <v>321</v>
      </c>
    </row>
    <row r="99" spans="1:16" customHeight="1" ht="58">
      <c r="A99" s="16"/>
      <c r="B99" s="18" t="s">
        <v>325</v>
      </c>
      <c r="C99" s="17" t="s">
        <v>169</v>
      </c>
      <c r="D99" s="17" t="s">
        <v>301</v>
      </c>
      <c r="E99" s="17" t="s">
        <v>326</v>
      </c>
      <c r="F99" s="19"/>
      <c r="G99" s="20">
        <v>1.0</v>
      </c>
      <c r="H99" s="21">
        <v>77.0</v>
      </c>
      <c r="I99" s="21">
        <v>77.0</v>
      </c>
      <c r="J99" s="22">
        <v>2429.0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327</v>
      </c>
      <c r="P99" t="s">
        <v>324</v>
      </c>
    </row>
    <row r="100" spans="1:16" customHeight="1" ht="58">
      <c r="A100" s="16"/>
      <c r="B100" s="18" t="s">
        <v>325</v>
      </c>
      <c r="C100" s="17" t="s">
        <v>169</v>
      </c>
      <c r="D100" s="17" t="s">
        <v>292</v>
      </c>
      <c r="E100" s="17" t="s">
        <v>326</v>
      </c>
      <c r="F100" s="19"/>
      <c r="G100" s="20">
        <v>1.0</v>
      </c>
      <c r="H100" s="21">
        <v>77.0</v>
      </c>
      <c r="I100" s="21">
        <v>77.0</v>
      </c>
      <c r="J100" s="22">
        <v>2688.0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329</v>
      </c>
      <c r="P100" t="s">
        <v>328</v>
      </c>
    </row>
    <row r="101" spans="1:16" customHeight="1" ht="58">
      <c r="A101" s="16"/>
      <c r="B101" s="18" t="s">
        <v>325</v>
      </c>
      <c r="C101" s="17" t="s">
        <v>169</v>
      </c>
      <c r="D101" s="17" t="s">
        <v>307</v>
      </c>
      <c r="E101" s="17" t="s">
        <v>326</v>
      </c>
      <c r="F101" s="19"/>
      <c r="G101" s="20">
        <v>1.0</v>
      </c>
      <c r="H101" s="21">
        <v>77.0</v>
      </c>
      <c r="I101" s="21">
        <v>77.0</v>
      </c>
      <c r="J101" s="22">
        <v>2688.0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331</v>
      </c>
      <c r="P101" t="s">
        <v>330</v>
      </c>
    </row>
    <row r="102" spans="1:16" customHeight="1" ht="58">
      <c r="A102" s="16"/>
      <c r="B102" s="18" t="s">
        <v>325</v>
      </c>
      <c r="C102" s="17" t="s">
        <v>169</v>
      </c>
      <c r="D102" s="17" t="s">
        <v>304</v>
      </c>
      <c r="E102" s="17" t="s">
        <v>326</v>
      </c>
      <c r="F102" s="19"/>
      <c r="G102" s="20">
        <v>1.0</v>
      </c>
      <c r="H102" s="21">
        <v>77.0</v>
      </c>
      <c r="I102" s="21">
        <v>77.0</v>
      </c>
      <c r="J102" s="22">
        <v>2342.0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333</v>
      </c>
      <c r="P102" t="s">
        <v>332</v>
      </c>
    </row>
    <row r="103" spans="1:16" customHeight="1" ht="58">
      <c r="A103" s="16"/>
      <c r="B103" s="18" t="s">
        <v>325</v>
      </c>
      <c r="C103" s="17" t="s">
        <v>169</v>
      </c>
      <c r="D103" s="17" t="s">
        <v>274</v>
      </c>
      <c r="E103" s="17" t="s">
        <v>326</v>
      </c>
      <c r="F103" s="19"/>
      <c r="G103" s="20">
        <v>1.0</v>
      </c>
      <c r="H103" s="21">
        <v>77.0</v>
      </c>
      <c r="I103" s="21">
        <v>77.0</v>
      </c>
      <c r="J103" s="22">
        <v>882.0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335</v>
      </c>
      <c r="P103" t="s">
        <v>334</v>
      </c>
    </row>
    <row r="104" spans="1:16" customHeight="1" ht="58">
      <c r="A104" s="16"/>
      <c r="B104" s="18" t="s">
        <v>325</v>
      </c>
      <c r="C104" s="17" t="s">
        <v>169</v>
      </c>
      <c r="D104" s="17" t="s">
        <v>286</v>
      </c>
      <c r="E104" s="17" t="s">
        <v>326</v>
      </c>
      <c r="F104" s="19"/>
      <c r="G104" s="20">
        <v>1.0</v>
      </c>
      <c r="H104" s="21">
        <v>77.0</v>
      </c>
      <c r="I104" s="21">
        <v>77.0</v>
      </c>
      <c r="J104" s="22">
        <v>1012.0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337</v>
      </c>
      <c r="P104" t="s">
        <v>336</v>
      </c>
    </row>
    <row r="105" spans="1:16" customHeight="1" ht="58">
      <c r="A105" s="16"/>
      <c r="B105" s="18" t="s">
        <v>325</v>
      </c>
      <c r="C105" s="17" t="s">
        <v>169</v>
      </c>
      <c r="D105" s="17" t="s">
        <v>289</v>
      </c>
      <c r="E105" s="17" t="s">
        <v>326</v>
      </c>
      <c r="F105" s="19"/>
      <c r="G105" s="20">
        <v>1.0</v>
      </c>
      <c r="H105" s="21">
        <v>77.0</v>
      </c>
      <c r="I105" s="21">
        <v>77.0</v>
      </c>
      <c r="J105" s="22">
        <v>778.0</v>
      </c>
      <c r="K105" s="50"/>
      <c r="L105" s="21" t="str">
        <f>IF(K105&gt;0,K105*I105,"")</f>
      </c>
      <c r="M105" s="52"/>
      <c r="N105" t="str">
        <f>IF(K105&gt;0,COUNTIF($K$7:K105,"&gt;0"),"")</f>
      </c>
      <c r="O105" t="s">
        <v>339</v>
      </c>
      <c r="P105" t="s">
        <v>338</v>
      </c>
    </row>
    <row r="106" spans="1:16" customHeight="1" ht="58">
      <c r="A106" s="16"/>
      <c r="B106" s="18" t="s">
        <v>325</v>
      </c>
      <c r="C106" s="17" t="s">
        <v>169</v>
      </c>
      <c r="D106" s="17" t="s">
        <v>271</v>
      </c>
      <c r="E106" s="17" t="s">
        <v>326</v>
      </c>
      <c r="F106" s="19"/>
      <c r="G106" s="20">
        <v>1.0</v>
      </c>
      <c r="H106" s="21">
        <v>77.0</v>
      </c>
      <c r="I106" s="21">
        <v>77.0</v>
      </c>
      <c r="J106" s="22">
        <v>2355.0</v>
      </c>
      <c r="K106" s="50"/>
      <c r="L106" s="21" t="str">
        <f>IF(K106&gt;0,K106*I106,"")</f>
      </c>
      <c r="M106" s="52"/>
      <c r="N106" t="str">
        <f>IF(K106&gt;0,COUNTIF($K$7:K106,"&gt;0"),"")</f>
      </c>
      <c r="O106" t="s">
        <v>341</v>
      </c>
      <c r="P106" t="s">
        <v>340</v>
      </c>
    </row>
    <row r="107" spans="1:16" customHeight="1" ht="58">
      <c r="A107" s="16"/>
      <c r="B107" s="18" t="s">
        <v>325</v>
      </c>
      <c r="C107" s="17" t="s">
        <v>169</v>
      </c>
      <c r="D107" s="17" t="s">
        <v>258</v>
      </c>
      <c r="E107" s="17" t="s">
        <v>326</v>
      </c>
      <c r="F107" s="19"/>
      <c r="G107" s="20">
        <v>1.0</v>
      </c>
      <c r="H107" s="21">
        <v>77.0</v>
      </c>
      <c r="I107" s="21">
        <v>77.0</v>
      </c>
      <c r="J107" s="22">
        <v>2662.0</v>
      </c>
      <c r="K107" s="50"/>
      <c r="L107" s="21" t="str">
        <f>IF(K107&gt;0,K107*I107,"")</f>
      </c>
      <c r="M107" s="52"/>
      <c r="N107" t="str">
        <f>IF(K107&gt;0,COUNTIF($K$7:K107,"&gt;0"),"")</f>
      </c>
      <c r="O107" t="s">
        <v>343</v>
      </c>
      <c r="P107" t="s">
        <v>342</v>
      </c>
    </row>
    <row r="108" spans="1:16" customHeight="1" ht="58">
      <c r="A108" s="16"/>
      <c r="B108" s="18" t="s">
        <v>325</v>
      </c>
      <c r="C108" s="17" t="s">
        <v>169</v>
      </c>
      <c r="D108" s="17" t="s">
        <v>345</v>
      </c>
      <c r="E108" s="17" t="s">
        <v>326</v>
      </c>
      <c r="F108" s="19"/>
      <c r="G108" s="20">
        <v>1.0</v>
      </c>
      <c r="H108" s="21">
        <v>77.0</v>
      </c>
      <c r="I108" s="21">
        <v>77.0</v>
      </c>
      <c r="J108" s="22">
        <v>1350.0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346</v>
      </c>
      <c r="P108" t="s">
        <v>344</v>
      </c>
    </row>
    <row r="109" spans="1:16" customHeight="1" ht="58">
      <c r="A109" s="16"/>
      <c r="B109" s="18" t="s">
        <v>325</v>
      </c>
      <c r="C109" s="17" t="s">
        <v>169</v>
      </c>
      <c r="D109" s="17" t="s">
        <v>319</v>
      </c>
      <c r="E109" s="17" t="s">
        <v>326</v>
      </c>
      <c r="F109" s="19"/>
      <c r="G109" s="20">
        <v>1.0</v>
      </c>
      <c r="H109" s="21">
        <v>77.0</v>
      </c>
      <c r="I109" s="21">
        <v>77.0</v>
      </c>
      <c r="J109" s="22">
        <v>527.0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348</v>
      </c>
      <c r="P109" t="s">
        <v>347</v>
      </c>
    </row>
    <row r="110" spans="1:16" customHeight="1" ht="58">
      <c r="A110" s="16"/>
      <c r="B110" s="18" t="s">
        <v>325</v>
      </c>
      <c r="C110" s="17" t="s">
        <v>169</v>
      </c>
      <c r="D110" s="17" t="s">
        <v>316</v>
      </c>
      <c r="E110" s="17" t="s">
        <v>326</v>
      </c>
      <c r="F110" s="19"/>
      <c r="G110" s="20">
        <v>1.0</v>
      </c>
      <c r="H110" s="21">
        <v>77.0</v>
      </c>
      <c r="I110" s="21">
        <v>77.0</v>
      </c>
      <c r="J110" s="22">
        <v>2418.0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350</v>
      </c>
      <c r="P110" t="s">
        <v>349</v>
      </c>
    </row>
    <row r="111" spans="1:16" customHeight="1" ht="58">
      <c r="A111" s="16"/>
      <c r="B111" s="18" t="s">
        <v>325</v>
      </c>
      <c r="C111" s="17" t="s">
        <v>169</v>
      </c>
      <c r="D111" s="17" t="s">
        <v>277</v>
      </c>
      <c r="E111" s="17" t="s">
        <v>326</v>
      </c>
      <c r="F111" s="19"/>
      <c r="G111" s="20">
        <v>1.0</v>
      </c>
      <c r="H111" s="21">
        <v>77.0</v>
      </c>
      <c r="I111" s="21">
        <v>77.0</v>
      </c>
      <c r="J111" s="22">
        <v>833.0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352</v>
      </c>
      <c r="P111" t="s">
        <v>351</v>
      </c>
    </row>
    <row r="112" spans="1:16" customHeight="1" ht="58">
      <c r="A112" s="16"/>
      <c r="B112" s="18" t="s">
        <v>325</v>
      </c>
      <c r="C112" s="17" t="s">
        <v>169</v>
      </c>
      <c r="D112" s="17" t="s">
        <v>322</v>
      </c>
      <c r="E112" s="17" t="s">
        <v>326</v>
      </c>
      <c r="F112" s="19"/>
      <c r="G112" s="20">
        <v>1.0</v>
      </c>
      <c r="H112" s="21">
        <v>77.0</v>
      </c>
      <c r="I112" s="21">
        <v>77.0</v>
      </c>
      <c r="J112" s="22">
        <v>2186.0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354</v>
      </c>
      <c r="P112" t="s">
        <v>353</v>
      </c>
    </row>
    <row r="113" spans="1:16" customHeight="1" ht="58">
      <c r="A113" s="16"/>
      <c r="B113" s="18" t="s">
        <v>325</v>
      </c>
      <c r="C113" s="17" t="s">
        <v>169</v>
      </c>
      <c r="D113" s="17" t="s">
        <v>295</v>
      </c>
      <c r="E113" s="17" t="s">
        <v>326</v>
      </c>
      <c r="F113" s="19"/>
      <c r="G113" s="20">
        <v>1.0</v>
      </c>
      <c r="H113" s="21">
        <v>77.0</v>
      </c>
      <c r="I113" s="21">
        <v>77.0</v>
      </c>
      <c r="J113" s="22">
        <v>1987.0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356</v>
      </c>
      <c r="P113" t="s">
        <v>355</v>
      </c>
    </row>
    <row r="114" spans="1:16" customHeight="1" ht="58">
      <c r="A114" s="16"/>
      <c r="B114" s="18" t="s">
        <v>325</v>
      </c>
      <c r="C114" s="17" t="s">
        <v>169</v>
      </c>
      <c r="D114" s="17" t="s">
        <v>283</v>
      </c>
      <c r="E114" s="17" t="s">
        <v>326</v>
      </c>
      <c r="F114" s="19"/>
      <c r="G114" s="20">
        <v>1.0</v>
      </c>
      <c r="H114" s="21">
        <v>77.0</v>
      </c>
      <c r="I114" s="21">
        <v>77.0</v>
      </c>
      <c r="J114" s="22">
        <v>2010.0</v>
      </c>
      <c r="K114" s="50"/>
      <c r="L114" s="21" t="str">
        <f>IF(K114&gt;0,K114*I114,"")</f>
      </c>
      <c r="M114" s="52"/>
      <c r="N114" t="str">
        <f>IF(K114&gt;0,COUNTIF($K$7:K114,"&gt;0"),"")</f>
      </c>
      <c r="O114" t="s">
        <v>358</v>
      </c>
      <c r="P114" t="s">
        <v>357</v>
      </c>
    </row>
    <row r="115" spans="1:16" customHeight="1" ht="58">
      <c r="A115" s="16"/>
      <c r="B115" s="18" t="s">
        <v>325</v>
      </c>
      <c r="C115" s="17" t="s">
        <v>169</v>
      </c>
      <c r="D115" s="17" t="s">
        <v>268</v>
      </c>
      <c r="E115" s="17" t="s">
        <v>326</v>
      </c>
      <c r="F115" s="19"/>
      <c r="G115" s="20">
        <v>1.0</v>
      </c>
      <c r="H115" s="21">
        <v>77.0</v>
      </c>
      <c r="I115" s="21">
        <v>77.0</v>
      </c>
      <c r="J115" s="22">
        <v>891.0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360</v>
      </c>
      <c r="P115" t="s">
        <v>359</v>
      </c>
    </row>
    <row r="116" spans="1:16" customHeight="1" ht="58">
      <c r="A116" s="16"/>
      <c r="B116" s="18" t="s">
        <v>325</v>
      </c>
      <c r="C116" s="17" t="s">
        <v>169</v>
      </c>
      <c r="D116" s="17" t="s">
        <v>262</v>
      </c>
      <c r="E116" s="17" t="s">
        <v>326</v>
      </c>
      <c r="F116" s="19"/>
      <c r="G116" s="20">
        <v>1.0</v>
      </c>
      <c r="H116" s="21">
        <v>77.0</v>
      </c>
      <c r="I116" s="21">
        <v>77.0</v>
      </c>
      <c r="J116" s="22">
        <v>2654.0</v>
      </c>
      <c r="K116" s="50"/>
      <c r="L116" s="21" t="str">
        <f>IF(K116&gt;0,K116*I116,"")</f>
      </c>
      <c r="M116" s="52"/>
      <c r="N116" t="str">
        <f>IF(K116&gt;0,COUNTIF($K$7:K116,"&gt;0"),"")</f>
      </c>
      <c r="O116" t="s">
        <v>362</v>
      </c>
      <c r="P116" t="s">
        <v>361</v>
      </c>
    </row>
    <row r="117" spans="1:16" customHeight="1" ht="58">
      <c r="A117" s="16"/>
      <c r="B117" s="18" t="s">
        <v>325</v>
      </c>
      <c r="C117" s="17" t="s">
        <v>169</v>
      </c>
      <c r="D117" s="17" t="s">
        <v>313</v>
      </c>
      <c r="E117" s="17" t="s">
        <v>326</v>
      </c>
      <c r="F117" s="19"/>
      <c r="G117" s="20">
        <v>1.0</v>
      </c>
      <c r="H117" s="21">
        <v>77.0</v>
      </c>
      <c r="I117" s="21">
        <v>77.0</v>
      </c>
      <c r="J117" s="22">
        <v>1626.0</v>
      </c>
      <c r="K117" s="50"/>
      <c r="L117" s="21" t="str">
        <f>IF(K117&gt;0,K117*I117,"")</f>
      </c>
      <c r="M117" s="52"/>
      <c r="N117" t="str">
        <f>IF(K117&gt;0,COUNTIF($K$7:K117,"&gt;0"),"")</f>
      </c>
      <c r="O117" t="s">
        <v>364</v>
      </c>
      <c r="P117" t="s">
        <v>363</v>
      </c>
    </row>
    <row r="118" spans="1:16" customHeight="1" ht="58">
      <c r="A118" s="16"/>
      <c r="B118" s="18" t="s">
        <v>325</v>
      </c>
      <c r="C118" s="17" t="s">
        <v>169</v>
      </c>
      <c r="D118" s="17" t="s">
        <v>310</v>
      </c>
      <c r="E118" s="17" t="s">
        <v>326</v>
      </c>
      <c r="F118" s="19"/>
      <c r="G118" s="20">
        <v>1.0</v>
      </c>
      <c r="H118" s="21">
        <v>77.0</v>
      </c>
      <c r="I118" s="21">
        <v>77.0</v>
      </c>
      <c r="J118" s="22">
        <v>2510.0</v>
      </c>
      <c r="K118" s="50"/>
      <c r="L118" s="21" t="str">
        <f>IF(K118&gt;0,K118*I118,"")</f>
      </c>
      <c r="M118" s="52"/>
      <c r="N118" t="str">
        <f>IF(K118&gt;0,COUNTIF($K$7:K118,"&gt;0"),"")</f>
      </c>
      <c r="O118" t="s">
        <v>366</v>
      </c>
      <c r="P118" t="s">
        <v>365</v>
      </c>
    </row>
    <row r="119" spans="1:16" customHeight="1" ht="58">
      <c r="A119" s="16"/>
      <c r="B119" s="18" t="s">
        <v>325</v>
      </c>
      <c r="C119" s="17" t="s">
        <v>169</v>
      </c>
      <c r="D119" s="17" t="s">
        <v>298</v>
      </c>
      <c r="E119" s="17" t="s">
        <v>326</v>
      </c>
      <c r="F119" s="19"/>
      <c r="G119" s="20">
        <v>1.0</v>
      </c>
      <c r="H119" s="21">
        <v>77.0</v>
      </c>
      <c r="I119" s="21">
        <v>77.0</v>
      </c>
      <c r="J119" s="22">
        <v>1928.0</v>
      </c>
      <c r="K119" s="50"/>
      <c r="L119" s="21" t="str">
        <f>IF(K119&gt;0,K119*I119,"")</f>
      </c>
      <c r="M119" s="52"/>
      <c r="N119" t="str">
        <f>IF(K119&gt;0,COUNTIF($K$7:K119,"&gt;0"),"")</f>
      </c>
      <c r="O119" t="s">
        <v>368</v>
      </c>
      <c r="P119" t="s">
        <v>367</v>
      </c>
    </row>
    <row r="120" spans="1:16" customHeight="1" ht="58">
      <c r="A120" s="16"/>
      <c r="B120" s="18" t="s">
        <v>325</v>
      </c>
      <c r="C120" s="17" t="s">
        <v>169</v>
      </c>
      <c r="D120" s="17" t="s">
        <v>265</v>
      </c>
      <c r="E120" s="17" t="s">
        <v>326</v>
      </c>
      <c r="F120" s="19"/>
      <c r="G120" s="20">
        <v>1.0</v>
      </c>
      <c r="H120" s="21">
        <v>77.0</v>
      </c>
      <c r="I120" s="21">
        <v>77.0</v>
      </c>
      <c r="J120" s="22">
        <v>2627.0</v>
      </c>
      <c r="K120" s="50"/>
      <c r="L120" s="21" t="str">
        <f>IF(K120&gt;0,K120*I120,"")</f>
      </c>
      <c r="M120" s="52"/>
      <c r="N120" t="str">
        <f>IF(K120&gt;0,COUNTIF($K$7:K120,"&gt;0"),"")</f>
      </c>
      <c r="O120" t="s">
        <v>370</v>
      </c>
      <c r="P120" t="s">
        <v>369</v>
      </c>
    </row>
    <row r="121" spans="1:16" customHeight="1" ht="58">
      <c r="A121" s="16"/>
      <c r="B121" s="18" t="s">
        <v>372</v>
      </c>
      <c r="C121" s="17" t="s">
        <v>373</v>
      </c>
      <c r="D121" s="17" t="s">
        <v>374</v>
      </c>
      <c r="E121" s="17" t="s">
        <v>375</v>
      </c>
      <c r="F121" s="19"/>
      <c r="G121" s="20">
        <v>1.0</v>
      </c>
      <c r="H121" s="21">
        <v>198.0</v>
      </c>
      <c r="I121" s="21">
        <v>122.0</v>
      </c>
      <c r="J121" s="22">
        <v>86.0</v>
      </c>
      <c r="K121" s="50"/>
      <c r="L121" s="21" t="str">
        <f>IF(K121&gt;0,K121*I121,"")</f>
      </c>
      <c r="M121" s="52"/>
      <c r="N121" t="str">
        <f>IF(K121&gt;0,COUNTIF($K$7:K121,"&gt;0"),"")</f>
      </c>
      <c r="O121" t="s">
        <v>376</v>
      </c>
      <c r="P121" t="s">
        <v>371</v>
      </c>
    </row>
    <row r="122" spans="1:16" customHeight="1" ht="58">
      <c r="A122" s="16"/>
      <c r="B122" s="18" t="s">
        <v>378</v>
      </c>
      <c r="C122" s="17" t="s">
        <v>373</v>
      </c>
      <c r="D122" s="17" t="s">
        <v>131</v>
      </c>
      <c r="E122" s="17" t="s">
        <v>379</v>
      </c>
      <c r="F122" s="19"/>
      <c r="G122" s="20">
        <v>1.0</v>
      </c>
      <c r="H122" s="21">
        <v>242.0</v>
      </c>
      <c r="I122" s="21">
        <v>158.0</v>
      </c>
      <c r="J122" s="22">
        <v>167.0</v>
      </c>
      <c r="K122" s="50"/>
      <c r="L122" s="21" t="str">
        <f>IF(K122&gt;0,K122*I122,"")</f>
      </c>
      <c r="M122" s="52"/>
      <c r="N122" t="str">
        <f>IF(K122&gt;0,COUNTIF($K$7:K122,"&gt;0"),"")</f>
      </c>
      <c r="O122" t="s">
        <v>380</v>
      </c>
      <c r="P122" t="s">
        <v>377</v>
      </c>
    </row>
    <row r="123" spans="1:16" customHeight="1" ht="58">
      <c r="A123" s="16"/>
      <c r="B123" s="18" t="s">
        <v>382</v>
      </c>
      <c r="C123" s="17" t="s">
        <v>373</v>
      </c>
      <c r="D123" s="17" t="s">
        <v>383</v>
      </c>
      <c r="E123" s="17" t="s">
        <v>379</v>
      </c>
      <c r="F123" s="19"/>
      <c r="G123" s="20">
        <v>1.0</v>
      </c>
      <c r="H123" s="21">
        <v>275.0</v>
      </c>
      <c r="I123" s="21">
        <v>166.0</v>
      </c>
      <c r="J123" s="22">
        <v>101.0</v>
      </c>
      <c r="K123" s="50"/>
      <c r="L123" s="21" t="str">
        <f>IF(K123&gt;0,K123*I123,"")</f>
      </c>
      <c r="M123" s="52"/>
      <c r="N123" t="str">
        <f>IF(K123&gt;0,COUNTIF($K$7:K123,"&gt;0"),"")</f>
      </c>
      <c r="O123" t="s">
        <v>384</v>
      </c>
      <c r="P123" t="s">
        <v>381</v>
      </c>
    </row>
    <row r="124" spans="1:16" customHeight="1" ht="58">
      <c r="A124" s="16"/>
      <c r="B124" s="18" t="s">
        <v>386</v>
      </c>
      <c r="C124" s="17" t="s">
        <v>373</v>
      </c>
      <c r="D124" s="17" t="s">
        <v>387</v>
      </c>
      <c r="E124" s="17" t="s">
        <v>379</v>
      </c>
      <c r="F124" s="19"/>
      <c r="G124" s="20">
        <v>1.0</v>
      </c>
      <c r="H124" s="21">
        <v>242.0</v>
      </c>
      <c r="I124" s="21">
        <v>158.0</v>
      </c>
      <c r="J124" s="22">
        <v>10.0</v>
      </c>
      <c r="K124" s="50"/>
      <c r="L124" s="21" t="str">
        <f>IF(K124&gt;0,K124*I124,"")</f>
      </c>
      <c r="M124" s="52"/>
      <c r="N124" t="str">
        <f>IF(K124&gt;0,COUNTIF($K$7:K124,"&gt;0"),"")</f>
      </c>
      <c r="O124" t="s">
        <v>388</v>
      </c>
      <c r="P124" t="s">
        <v>385</v>
      </c>
    </row>
    <row r="125" spans="1:16" customHeight="1" ht="58">
      <c r="A125" s="16"/>
      <c r="B125" s="18" t="s">
        <v>390</v>
      </c>
      <c r="C125" s="17" t="s">
        <v>373</v>
      </c>
      <c r="D125" s="17" t="s">
        <v>391</v>
      </c>
      <c r="E125" s="17" t="s">
        <v>379</v>
      </c>
      <c r="F125" s="19"/>
      <c r="G125" s="20">
        <v>1.0</v>
      </c>
      <c r="H125" s="21">
        <v>242.0</v>
      </c>
      <c r="I125" s="21">
        <v>158.0</v>
      </c>
      <c r="J125" s="22">
        <v>53.0</v>
      </c>
      <c r="K125" s="50"/>
      <c r="L125" s="21" t="str">
        <f>IF(K125&gt;0,K125*I125,"")</f>
      </c>
      <c r="M125" s="52"/>
      <c r="N125" t="str">
        <f>IF(K125&gt;0,COUNTIF($K$7:K125,"&gt;0"),"")</f>
      </c>
      <c r="O125" t="s">
        <v>392</v>
      </c>
      <c r="P125" t="s">
        <v>389</v>
      </c>
    </row>
    <row r="126" spans="1:16" customHeight="1" ht="58">
      <c r="A126" s="16"/>
      <c r="B126" s="18" t="s">
        <v>394</v>
      </c>
      <c r="C126" s="17" t="s">
        <v>373</v>
      </c>
      <c r="D126" s="17" t="s">
        <v>51</v>
      </c>
      <c r="E126" s="17" t="s">
        <v>379</v>
      </c>
      <c r="F126" s="19"/>
      <c r="G126" s="20">
        <v>1.0</v>
      </c>
      <c r="H126" s="21">
        <v>275.0</v>
      </c>
      <c r="I126" s="21">
        <v>166.0</v>
      </c>
      <c r="J126" s="22">
        <v>11.0</v>
      </c>
      <c r="K126" s="50"/>
      <c r="L126" s="21" t="str">
        <f>IF(K126&gt;0,K126*I126,"")</f>
      </c>
      <c r="M126" s="52"/>
      <c r="N126" t="str">
        <f>IF(K126&gt;0,COUNTIF($K$7:K126,"&gt;0"),"")</f>
      </c>
      <c r="O126" t="s">
        <v>395</v>
      </c>
      <c r="P126" t="s">
        <v>393</v>
      </c>
    </row>
    <row r="127" spans="1:16" customHeight="1" ht="58">
      <c r="A127" s="16"/>
      <c r="B127" s="18" t="s">
        <v>397</v>
      </c>
      <c r="C127" s="17" t="s">
        <v>373</v>
      </c>
      <c r="D127" s="17" t="s">
        <v>99</v>
      </c>
      <c r="E127" s="17" t="s">
        <v>379</v>
      </c>
      <c r="F127" s="19"/>
      <c r="G127" s="20">
        <v>1.0</v>
      </c>
      <c r="H127" s="21">
        <v>242.0</v>
      </c>
      <c r="I127" s="21">
        <v>158.0</v>
      </c>
      <c r="J127" s="22">
        <v>74.0</v>
      </c>
      <c r="K127" s="50"/>
      <c r="L127" s="21" t="str">
        <f>IF(K127&gt;0,K127*I127,"")</f>
      </c>
      <c r="M127" s="52"/>
      <c r="N127" t="str">
        <f>IF(K127&gt;0,COUNTIF($K$7:K127,"&gt;0"),"")</f>
      </c>
      <c r="O127" t="s">
        <v>398</v>
      </c>
      <c r="P127" t="s">
        <v>396</v>
      </c>
    </row>
    <row r="128" spans="1:16" customHeight="1" ht="58">
      <c r="A128" s="16"/>
      <c r="B128" s="18" t="s">
        <v>400</v>
      </c>
      <c r="C128" s="17" t="s">
        <v>373</v>
      </c>
      <c r="D128" s="17" t="s">
        <v>47</v>
      </c>
      <c r="E128" s="17" t="s">
        <v>379</v>
      </c>
      <c r="F128" s="19"/>
      <c r="G128" s="20">
        <v>1.0</v>
      </c>
      <c r="H128" s="21">
        <v>242.0</v>
      </c>
      <c r="I128" s="21">
        <v>158.0</v>
      </c>
      <c r="J128" s="22">
        <v>23.0</v>
      </c>
      <c r="K128" s="50"/>
      <c r="L128" s="21" t="str">
        <f>IF(K128&gt;0,K128*I128,"")</f>
      </c>
      <c r="M128" s="52"/>
      <c r="N128" t="str">
        <f>IF(K128&gt;0,COUNTIF($K$7:K128,"&gt;0"),"")</f>
      </c>
      <c r="O128" t="s">
        <v>401</v>
      </c>
      <c r="P128" t="s">
        <v>399</v>
      </c>
    </row>
    <row r="129" spans="1:16" customHeight="1" ht="58">
      <c r="A129" s="16"/>
      <c r="B129" s="18" t="s">
        <v>403</v>
      </c>
      <c r="C129" s="17" t="s">
        <v>373</v>
      </c>
      <c r="D129" s="17" t="s">
        <v>404</v>
      </c>
      <c r="E129" s="17" t="s">
        <v>379</v>
      </c>
      <c r="F129" s="19"/>
      <c r="G129" s="20">
        <v>1.0</v>
      </c>
      <c r="H129" s="21">
        <v>242.0</v>
      </c>
      <c r="I129" s="21">
        <v>158.0</v>
      </c>
      <c r="J129" s="22">
        <v>41.0</v>
      </c>
      <c r="K129" s="50"/>
      <c r="L129" s="21" t="str">
        <f>IF(K129&gt;0,K129*I129,"")</f>
      </c>
      <c r="M129" s="52"/>
      <c r="N129" t="str">
        <f>IF(K129&gt;0,COUNTIF($K$7:K129,"&gt;0"),"")</f>
      </c>
      <c r="P129" t="s">
        <v>402</v>
      </c>
    </row>
    <row r="130" spans="1:16" customHeight="1" ht="58">
      <c r="A130" s="16"/>
      <c r="B130" s="18" t="s">
        <v>406</v>
      </c>
      <c r="C130" s="17" t="s">
        <v>373</v>
      </c>
      <c r="D130" s="17" t="s">
        <v>135</v>
      </c>
      <c r="E130" s="17" t="s">
        <v>379</v>
      </c>
      <c r="F130" s="19"/>
      <c r="G130" s="20">
        <v>1.0</v>
      </c>
      <c r="H130" s="21">
        <v>242.0</v>
      </c>
      <c r="I130" s="21">
        <v>158.0</v>
      </c>
      <c r="J130" s="22">
        <v>128.0</v>
      </c>
      <c r="K130" s="50"/>
      <c r="L130" s="21" t="str">
        <f>IF(K130&gt;0,K130*I130,"")</f>
      </c>
      <c r="M130" s="52"/>
      <c r="N130" t="str">
        <f>IF(K130&gt;0,COUNTIF($K$7:K130,"&gt;0"),"")</f>
      </c>
      <c r="O130" t="s">
        <v>407</v>
      </c>
      <c r="P130" t="s">
        <v>405</v>
      </c>
    </row>
    <row r="131" spans="1:16" customHeight="1" ht="58">
      <c r="A131" s="16"/>
      <c r="B131" s="18" t="s">
        <v>409</v>
      </c>
      <c r="C131" s="17" t="s">
        <v>373</v>
      </c>
      <c r="D131" s="17" t="s">
        <v>410</v>
      </c>
      <c r="E131" s="17" t="s">
        <v>379</v>
      </c>
      <c r="F131" s="19"/>
      <c r="G131" s="20">
        <v>1.0</v>
      </c>
      <c r="H131" s="21">
        <v>242.0</v>
      </c>
      <c r="I131" s="21">
        <v>158.0</v>
      </c>
      <c r="J131" s="22">
        <v>41.0</v>
      </c>
      <c r="K131" s="50"/>
      <c r="L131" s="21" t="str">
        <f>IF(K131&gt;0,K131*I131,"")</f>
      </c>
      <c r="M131" s="52"/>
      <c r="N131" t="str">
        <f>IF(K131&gt;0,COUNTIF($K$7:K131,"&gt;0"),"")</f>
      </c>
      <c r="O131" t="s">
        <v>411</v>
      </c>
      <c r="P131" t="s">
        <v>408</v>
      </c>
    </row>
    <row r="132" spans="1:16" customHeight="1" ht="58">
      <c r="A132" s="16"/>
      <c r="B132" s="18" t="s">
        <v>413</v>
      </c>
      <c r="C132" s="17" t="s">
        <v>373</v>
      </c>
      <c r="D132" s="17" t="s">
        <v>253</v>
      </c>
      <c r="E132" s="17" t="s">
        <v>379</v>
      </c>
      <c r="F132" s="19"/>
      <c r="G132" s="20">
        <v>1.0</v>
      </c>
      <c r="H132" s="21">
        <v>242.0</v>
      </c>
      <c r="I132" s="21">
        <v>158.0</v>
      </c>
      <c r="J132" s="22">
        <v>214.0</v>
      </c>
      <c r="K132" s="50"/>
      <c r="L132" s="21" t="str">
        <f>IF(K132&gt;0,K132*I132,"")</f>
      </c>
      <c r="M132" s="52"/>
      <c r="N132" t="str">
        <f>IF(K132&gt;0,COUNTIF($K$7:K132,"&gt;0"),"")</f>
      </c>
      <c r="O132" t="s">
        <v>414</v>
      </c>
      <c r="P132" t="s">
        <v>412</v>
      </c>
    </row>
    <row r="133" spans="1:16" customHeight="1" ht="58">
      <c r="A133" s="16"/>
      <c r="B133" s="18" t="s">
        <v>416</v>
      </c>
      <c r="C133" s="17" t="s">
        <v>373</v>
      </c>
      <c r="D133" s="17" t="s">
        <v>127</v>
      </c>
      <c r="E133" s="17" t="s">
        <v>379</v>
      </c>
      <c r="F133" s="19"/>
      <c r="G133" s="20">
        <v>1.0</v>
      </c>
      <c r="H133" s="21">
        <v>242.0</v>
      </c>
      <c r="I133" s="21">
        <v>158.0</v>
      </c>
      <c r="J133" s="22">
        <v>19.0</v>
      </c>
      <c r="K133" s="50"/>
      <c r="L133" s="21" t="str">
        <f>IF(K133&gt;0,K133*I133,"")</f>
      </c>
      <c r="M133" s="52"/>
      <c r="N133" t="str">
        <f>IF(K133&gt;0,COUNTIF($K$7:K133,"&gt;0"),"")</f>
      </c>
      <c r="O133" t="s">
        <v>417</v>
      </c>
      <c r="P133" t="s">
        <v>415</v>
      </c>
    </row>
    <row r="134" spans="1:16" customHeight="1" ht="58">
      <c r="A134" s="16"/>
      <c r="B134" s="18" t="s">
        <v>419</v>
      </c>
      <c r="C134" s="17" t="s">
        <v>373</v>
      </c>
      <c r="D134" s="17" t="s">
        <v>115</v>
      </c>
      <c r="E134" s="17" t="s">
        <v>379</v>
      </c>
      <c r="F134" s="19"/>
      <c r="G134" s="20">
        <v>1.0</v>
      </c>
      <c r="H134" s="21">
        <v>242.0</v>
      </c>
      <c r="I134" s="21">
        <v>158.0</v>
      </c>
      <c r="J134" s="22">
        <v>64.0</v>
      </c>
      <c r="K134" s="50"/>
      <c r="L134" s="21" t="str">
        <f>IF(K134&gt;0,K134*I134,"")</f>
      </c>
      <c r="M134" s="52"/>
      <c r="N134" t="str">
        <f>IF(K134&gt;0,COUNTIF($K$7:K134,"&gt;0"),"")</f>
      </c>
      <c r="O134" t="s">
        <v>420</v>
      </c>
      <c r="P134" t="s">
        <v>418</v>
      </c>
    </row>
    <row r="135" spans="1:16" customHeight="1" ht="58">
      <c r="A135" s="16"/>
      <c r="B135" s="18" t="s">
        <v>422</v>
      </c>
      <c r="C135" s="17" t="s">
        <v>373</v>
      </c>
      <c r="D135" s="17" t="s">
        <v>423</v>
      </c>
      <c r="E135" s="17" t="s">
        <v>379</v>
      </c>
      <c r="F135" s="19"/>
      <c r="G135" s="20">
        <v>1.0</v>
      </c>
      <c r="H135" s="21">
        <v>242.0</v>
      </c>
      <c r="I135" s="21">
        <v>158.0</v>
      </c>
      <c r="J135" s="22">
        <v>115.0</v>
      </c>
      <c r="K135" s="50"/>
      <c r="L135" s="21" t="str">
        <f>IF(K135&gt;0,K135*I135,"")</f>
      </c>
      <c r="M135" s="52"/>
      <c r="N135" t="str">
        <f>IF(K135&gt;0,COUNTIF($K$7:K135,"&gt;0"),"")</f>
      </c>
      <c r="P135" t="s">
        <v>421</v>
      </c>
    </row>
    <row r="136" spans="1:16" customHeight="1" ht="58">
      <c r="A136" s="16"/>
      <c r="B136" s="18" t="s">
        <v>425</v>
      </c>
      <c r="C136" s="17" t="s">
        <v>373</v>
      </c>
      <c r="D136" s="17" t="s">
        <v>426</v>
      </c>
      <c r="E136" s="17" t="s">
        <v>379</v>
      </c>
      <c r="F136" s="19"/>
      <c r="G136" s="20">
        <v>1.0</v>
      </c>
      <c r="H136" s="21">
        <v>242.0</v>
      </c>
      <c r="I136" s="21">
        <v>158.0</v>
      </c>
      <c r="J136" s="22">
        <v>118.0</v>
      </c>
      <c r="K136" s="50"/>
      <c r="L136" s="21" t="str">
        <f>IF(K136&gt;0,K136*I136,"")</f>
      </c>
      <c r="M136" s="52"/>
      <c r="N136" t="str">
        <f>IF(K136&gt;0,COUNTIF($K$7:K136,"&gt;0"),"")</f>
      </c>
      <c r="P136" t="s">
        <v>424</v>
      </c>
    </row>
    <row r="137" spans="1:16" customHeight="1" ht="58">
      <c r="A137" s="16"/>
      <c r="B137" s="18" t="s">
        <v>428</v>
      </c>
      <c r="C137" s="17" t="s">
        <v>373</v>
      </c>
      <c r="D137" s="17" t="s">
        <v>39</v>
      </c>
      <c r="E137" s="17" t="s">
        <v>379</v>
      </c>
      <c r="F137" s="19"/>
      <c r="G137" s="20">
        <v>1.0</v>
      </c>
      <c r="H137" s="21">
        <v>242.0</v>
      </c>
      <c r="I137" s="21">
        <v>158.0</v>
      </c>
      <c r="J137" s="22">
        <v>73.0</v>
      </c>
      <c r="K137" s="50"/>
      <c r="L137" s="21" t="str">
        <f>IF(K137&gt;0,K137*I137,"")</f>
      </c>
      <c r="M137" s="52"/>
      <c r="N137" t="str">
        <f>IF(K137&gt;0,COUNTIF($K$7:K137,"&gt;0"),"")</f>
      </c>
      <c r="O137" t="s">
        <v>429</v>
      </c>
      <c r="P137" t="s">
        <v>427</v>
      </c>
    </row>
    <row r="138" spans="1:16" customHeight="1" ht="58">
      <c r="A138" s="16"/>
      <c r="B138" s="18" t="s">
        <v>431</v>
      </c>
      <c r="C138" s="17" t="s">
        <v>373</v>
      </c>
      <c r="D138" s="17" t="s">
        <v>119</v>
      </c>
      <c r="E138" s="17" t="s">
        <v>379</v>
      </c>
      <c r="F138" s="19"/>
      <c r="G138" s="20">
        <v>1.0</v>
      </c>
      <c r="H138" s="21">
        <v>242.0</v>
      </c>
      <c r="I138" s="21">
        <v>158.0</v>
      </c>
      <c r="J138" s="22">
        <v>241.0</v>
      </c>
      <c r="K138" s="50"/>
      <c r="L138" s="21" t="str">
        <f>IF(K138&gt;0,K138*I138,"")</f>
      </c>
      <c r="M138" s="52"/>
      <c r="N138" t="str">
        <f>IF(K138&gt;0,COUNTIF($K$7:K138,"&gt;0"),"")</f>
      </c>
      <c r="O138" t="s">
        <v>432</v>
      </c>
      <c r="P138" t="s">
        <v>430</v>
      </c>
    </row>
    <row r="139" spans="1:16" customHeight="1" ht="58">
      <c r="A139" s="16"/>
      <c r="B139" s="18" t="s">
        <v>434</v>
      </c>
      <c r="C139" s="17" t="s">
        <v>373</v>
      </c>
      <c r="D139" s="17" t="s">
        <v>435</v>
      </c>
      <c r="E139" s="17" t="s">
        <v>379</v>
      </c>
      <c r="F139" s="19"/>
      <c r="G139" s="20">
        <v>1.0</v>
      </c>
      <c r="H139" s="21">
        <v>242.0</v>
      </c>
      <c r="I139" s="21">
        <v>158.0</v>
      </c>
      <c r="J139" s="22">
        <v>161.0</v>
      </c>
      <c r="K139" s="50"/>
      <c r="L139" s="21" t="str">
        <f>IF(K139&gt;0,K139*I139,"")</f>
      </c>
      <c r="M139" s="52"/>
      <c r="N139" t="str">
        <f>IF(K139&gt;0,COUNTIF($K$7:K139,"&gt;0"),"")</f>
      </c>
      <c r="O139" t="s">
        <v>436</v>
      </c>
      <c r="P139" t="s">
        <v>433</v>
      </c>
    </row>
    <row r="140" spans="1:16" customHeight="1" ht="58">
      <c r="A140" s="16"/>
      <c r="B140" s="18" t="s">
        <v>438</v>
      </c>
      <c r="C140" s="17" t="s">
        <v>373</v>
      </c>
      <c r="D140" s="17" t="s">
        <v>63</v>
      </c>
      <c r="E140" s="17" t="s">
        <v>379</v>
      </c>
      <c r="F140" s="19"/>
      <c r="G140" s="20">
        <v>1.0</v>
      </c>
      <c r="H140" s="21">
        <v>242.0</v>
      </c>
      <c r="I140" s="21">
        <v>158.0</v>
      </c>
      <c r="J140" s="22">
        <v>319.0</v>
      </c>
      <c r="K140" s="50"/>
      <c r="L140" s="21" t="str">
        <f>IF(K140&gt;0,K140*I140,"")</f>
      </c>
      <c r="M140" s="52"/>
      <c r="N140" t="str">
        <f>IF(K140&gt;0,COUNTIF($K$7:K140,"&gt;0"),"")</f>
      </c>
      <c r="O140" t="s">
        <v>439</v>
      </c>
      <c r="P140" t="s">
        <v>437</v>
      </c>
    </row>
    <row r="141" spans="1:16" customHeight="1" ht="58">
      <c r="A141" s="16"/>
      <c r="B141" s="18" t="s">
        <v>441</v>
      </c>
      <c r="C141" s="17" t="s">
        <v>373</v>
      </c>
      <c r="D141" s="17" t="s">
        <v>442</v>
      </c>
      <c r="E141" s="17" t="s">
        <v>379</v>
      </c>
      <c r="F141" s="19"/>
      <c r="G141" s="20">
        <v>1.0</v>
      </c>
      <c r="H141" s="21">
        <v>242.0</v>
      </c>
      <c r="I141" s="21">
        <v>158.0</v>
      </c>
      <c r="J141" s="22">
        <v>76.0</v>
      </c>
      <c r="K141" s="50"/>
      <c r="L141" s="21" t="str">
        <f>IF(K141&gt;0,K141*I141,"")</f>
      </c>
      <c r="M141" s="52"/>
      <c r="N141" t="str">
        <f>IF(K141&gt;0,COUNTIF($K$7:K141,"&gt;0"),"")</f>
      </c>
      <c r="O141" t="s">
        <v>443</v>
      </c>
      <c r="P141" t="s">
        <v>440</v>
      </c>
    </row>
    <row r="142" spans="1:16" customHeight="1" ht="58">
      <c r="A142" s="16"/>
      <c r="B142" s="18" t="s">
        <v>445</v>
      </c>
      <c r="C142" s="17" t="s">
        <v>373</v>
      </c>
      <c r="D142" s="17" t="s">
        <v>75</v>
      </c>
      <c r="E142" s="17" t="s">
        <v>379</v>
      </c>
      <c r="F142" s="19"/>
      <c r="G142" s="20">
        <v>1.0</v>
      </c>
      <c r="H142" s="21">
        <v>242.0</v>
      </c>
      <c r="I142" s="21">
        <v>158.0</v>
      </c>
      <c r="J142" s="22">
        <v>118.0</v>
      </c>
      <c r="K142" s="50"/>
      <c r="L142" s="21" t="str">
        <f>IF(K142&gt;0,K142*I142,"")</f>
      </c>
      <c r="M142" s="52"/>
      <c r="N142" t="str">
        <f>IF(K142&gt;0,COUNTIF($K$7:K142,"&gt;0"),"")</f>
      </c>
      <c r="O142" t="s">
        <v>446</v>
      </c>
      <c r="P142" t="s">
        <v>444</v>
      </c>
    </row>
    <row r="143" spans="1:16" customHeight="1" ht="24">
      <c r="A143" s="23" t="s">
        <v>447</v>
      </c>
      <c r="B143" s="24"/>
      <c r="C143" s="25"/>
      <c r="D143" s="25"/>
      <c r="E143" s="25"/>
      <c r="F143" s="26"/>
      <c r="G143" s="27"/>
      <c r="H143" s="28"/>
      <c r="I143" s="28"/>
      <c r="J143" s="29"/>
      <c r="K143" s="49"/>
      <c r="L143" s="28"/>
      <c r="M143" s="51"/>
      <c r="N143" t="str">
        <f>IF(K143&gt;0,COUNTIF($K$7:K143,"&gt;0"),"")</f>
      </c>
    </row>
    <row r="144" spans="1:16" customHeight="1" ht="58">
      <c r="A144" s="16"/>
      <c r="B144" s="18" t="s">
        <v>449</v>
      </c>
      <c r="C144" s="17" t="s">
        <v>450</v>
      </c>
      <c r="D144" s="17" t="s">
        <v>451</v>
      </c>
      <c r="E144" s="17" t="s">
        <v>452</v>
      </c>
      <c r="F144" s="19"/>
      <c r="G144" s="20">
        <v>1.0</v>
      </c>
      <c r="H144" s="21">
        <v>36.3</v>
      </c>
      <c r="I144" s="21">
        <v>24.0</v>
      </c>
      <c r="J144" s="22">
        <v>10433.0</v>
      </c>
      <c r="K144" s="50"/>
      <c r="L144" s="21" t="str">
        <f>IF(K144&gt;0,K144*I144,"")</f>
      </c>
      <c r="M144" s="52"/>
      <c r="N144" t="str">
        <f>IF(K144&gt;0,COUNTIF($K$7:K144,"&gt;0"),"")</f>
      </c>
      <c r="O144" t="s">
        <v>453</v>
      </c>
      <c r="P144" t="s">
        <v>448</v>
      </c>
    </row>
    <row r="145" spans="1:16" customHeight="1" ht="58">
      <c r="A145" s="16"/>
      <c r="B145" s="18" t="s">
        <v>449</v>
      </c>
      <c r="C145" s="17" t="s">
        <v>450</v>
      </c>
      <c r="D145" s="17" t="s">
        <v>455</v>
      </c>
      <c r="E145" s="17" t="s">
        <v>452</v>
      </c>
      <c r="F145" s="19"/>
      <c r="G145" s="20">
        <v>1.0</v>
      </c>
      <c r="H145" s="21">
        <v>36.3</v>
      </c>
      <c r="I145" s="21">
        <v>24.0</v>
      </c>
      <c r="J145" s="22">
        <v>12140.0</v>
      </c>
      <c r="K145" s="50"/>
      <c r="L145" s="21" t="str">
        <f>IF(K145&gt;0,K145*I145,"")</f>
      </c>
      <c r="M145" s="52"/>
      <c r="N145" t="str">
        <f>IF(K145&gt;0,COUNTIF($K$7:K145,"&gt;0"),"")</f>
      </c>
      <c r="O145" t="s">
        <v>456</v>
      </c>
      <c r="P145" t="s">
        <v>454</v>
      </c>
    </row>
    <row r="146" spans="1:16" customHeight="1" ht="58">
      <c r="A146" s="16"/>
      <c r="B146" s="18" t="s">
        <v>449</v>
      </c>
      <c r="C146" s="17" t="s">
        <v>450</v>
      </c>
      <c r="D146" s="17" t="s">
        <v>458</v>
      </c>
      <c r="E146" s="17" t="s">
        <v>452</v>
      </c>
      <c r="F146" s="19"/>
      <c r="G146" s="20">
        <v>1.0</v>
      </c>
      <c r="H146" s="21">
        <v>36.3</v>
      </c>
      <c r="I146" s="21">
        <v>24.0</v>
      </c>
      <c r="J146" s="22">
        <v>9457.0</v>
      </c>
      <c r="K146" s="50"/>
      <c r="L146" s="21" t="str">
        <f>IF(K146&gt;0,K146*I146,"")</f>
      </c>
      <c r="M146" s="52"/>
      <c r="N146" t="str">
        <f>IF(K146&gt;0,COUNTIF($K$7:K146,"&gt;0"),"")</f>
      </c>
      <c r="O146" t="s">
        <v>459</v>
      </c>
      <c r="P146" t="s">
        <v>457</v>
      </c>
    </row>
    <row r="147" spans="1:16" customHeight="1" ht="58">
      <c r="A147" s="16"/>
      <c r="B147" s="18" t="s">
        <v>449</v>
      </c>
      <c r="C147" s="17" t="s">
        <v>450</v>
      </c>
      <c r="D147" s="17" t="s">
        <v>461</v>
      </c>
      <c r="E147" s="17" t="s">
        <v>452</v>
      </c>
      <c r="F147" s="19"/>
      <c r="G147" s="20">
        <v>1.0</v>
      </c>
      <c r="H147" s="21">
        <v>36.3</v>
      </c>
      <c r="I147" s="21">
        <v>24.0</v>
      </c>
      <c r="J147" s="22">
        <v>7539.0</v>
      </c>
      <c r="K147" s="50"/>
      <c r="L147" s="21" t="str">
        <f>IF(K147&gt;0,K147*I147,"")</f>
      </c>
      <c r="M147" s="52"/>
      <c r="N147" t="str">
        <f>IF(K147&gt;0,COUNTIF($K$7:K147,"&gt;0"),"")</f>
      </c>
      <c r="O147" t="s">
        <v>462</v>
      </c>
      <c r="P147" t="s">
        <v>460</v>
      </c>
    </row>
    <row r="148" spans="1:16" customHeight="1" ht="58">
      <c r="A148" s="16"/>
      <c r="B148" s="18" t="s">
        <v>449</v>
      </c>
      <c r="C148" s="17" t="s">
        <v>450</v>
      </c>
      <c r="D148" s="17" t="s">
        <v>464</v>
      </c>
      <c r="E148" s="17" t="s">
        <v>452</v>
      </c>
      <c r="F148" s="19"/>
      <c r="G148" s="20">
        <v>1.0</v>
      </c>
      <c r="H148" s="21">
        <v>36.3</v>
      </c>
      <c r="I148" s="21">
        <v>24.0</v>
      </c>
      <c r="J148" s="22">
        <v>4052.0</v>
      </c>
      <c r="K148" s="50"/>
      <c r="L148" s="21" t="str">
        <f>IF(K148&gt;0,K148*I148,"")</f>
      </c>
      <c r="M148" s="52"/>
      <c r="N148" t="str">
        <f>IF(K148&gt;0,COUNTIF($K$7:K148,"&gt;0"),"")</f>
      </c>
      <c r="O148" t="s">
        <v>465</v>
      </c>
      <c r="P148" t="s">
        <v>463</v>
      </c>
    </row>
    <row r="149" spans="1:16" customHeight="1" ht="58">
      <c r="A149" s="16"/>
      <c r="B149" s="18" t="s">
        <v>449</v>
      </c>
      <c r="C149" s="17" t="s">
        <v>450</v>
      </c>
      <c r="D149" s="17" t="s">
        <v>467</v>
      </c>
      <c r="E149" s="17" t="s">
        <v>452</v>
      </c>
      <c r="F149" s="19"/>
      <c r="G149" s="20">
        <v>1.0</v>
      </c>
      <c r="H149" s="21">
        <v>36.3</v>
      </c>
      <c r="I149" s="21">
        <v>24.0</v>
      </c>
      <c r="J149" s="22">
        <v>10136.0</v>
      </c>
      <c r="K149" s="50"/>
      <c r="L149" s="21" t="str">
        <f>IF(K149&gt;0,K149*I149,"")</f>
      </c>
      <c r="M149" s="52"/>
      <c r="N149" t="str">
        <f>IF(K149&gt;0,COUNTIF($K$7:K149,"&gt;0"),"")</f>
      </c>
      <c r="O149" t="s">
        <v>468</v>
      </c>
      <c r="P149" t="s">
        <v>466</v>
      </c>
    </row>
    <row r="150" spans="1:16" customHeight="1" ht="58">
      <c r="A150" s="16"/>
      <c r="B150" s="18" t="s">
        <v>449</v>
      </c>
      <c r="C150" s="17" t="s">
        <v>450</v>
      </c>
      <c r="D150" s="17" t="s">
        <v>470</v>
      </c>
      <c r="E150" s="17" t="s">
        <v>452</v>
      </c>
      <c r="F150" s="19"/>
      <c r="G150" s="20">
        <v>1.0</v>
      </c>
      <c r="H150" s="21">
        <v>36.3</v>
      </c>
      <c r="I150" s="21">
        <v>24.0</v>
      </c>
      <c r="J150" s="22">
        <v>10053.0</v>
      </c>
      <c r="K150" s="50"/>
      <c r="L150" s="21" t="str">
        <f>IF(K150&gt;0,K150*I150,"")</f>
      </c>
      <c r="M150" s="52"/>
      <c r="N150" t="str">
        <f>IF(K150&gt;0,COUNTIF($K$7:K150,"&gt;0"),"")</f>
      </c>
      <c r="O150" t="s">
        <v>471</v>
      </c>
      <c r="P150" t="s">
        <v>469</v>
      </c>
    </row>
    <row r="151" spans="1:16" customHeight="1" ht="58">
      <c r="A151" s="16"/>
      <c r="B151" s="18" t="s">
        <v>449</v>
      </c>
      <c r="C151" s="17" t="s">
        <v>450</v>
      </c>
      <c r="D151" s="17" t="s">
        <v>473</v>
      </c>
      <c r="E151" s="17" t="s">
        <v>452</v>
      </c>
      <c r="F151" s="19"/>
      <c r="G151" s="20">
        <v>1.0</v>
      </c>
      <c r="H151" s="21">
        <v>36.3</v>
      </c>
      <c r="I151" s="21">
        <v>24.0</v>
      </c>
      <c r="J151" s="22">
        <v>9949.0</v>
      </c>
      <c r="K151" s="50"/>
      <c r="L151" s="21" t="str">
        <f>IF(K151&gt;0,K151*I151,"")</f>
      </c>
      <c r="M151" s="52"/>
      <c r="N151" t="str">
        <f>IF(K151&gt;0,COUNTIF($K$7:K151,"&gt;0"),"")</f>
      </c>
      <c r="O151" t="s">
        <v>474</v>
      </c>
      <c r="P151" t="s">
        <v>472</v>
      </c>
    </row>
    <row r="152" spans="1:16" customHeight="1" ht="58">
      <c r="A152" s="16"/>
      <c r="B152" s="18" t="s">
        <v>449</v>
      </c>
      <c r="C152" s="17" t="s">
        <v>450</v>
      </c>
      <c r="D152" s="17" t="s">
        <v>476</v>
      </c>
      <c r="E152" s="17" t="s">
        <v>452</v>
      </c>
      <c r="F152" s="19"/>
      <c r="G152" s="20">
        <v>1.0</v>
      </c>
      <c r="H152" s="21">
        <v>36.3</v>
      </c>
      <c r="I152" s="21">
        <v>24.0</v>
      </c>
      <c r="J152" s="22">
        <v>4524.0</v>
      </c>
      <c r="K152" s="50"/>
      <c r="L152" s="21" t="str">
        <f>IF(K152&gt;0,K152*I152,"")</f>
      </c>
      <c r="M152" s="52"/>
      <c r="N152" t="str">
        <f>IF(K152&gt;0,COUNTIF($K$7:K152,"&gt;0"),"")</f>
      </c>
      <c r="O152" t="s">
        <v>477</v>
      </c>
      <c r="P152" t="s">
        <v>475</v>
      </c>
    </row>
    <row r="153" spans="1:16" customHeight="1" ht="58">
      <c r="A153" s="16"/>
      <c r="B153" s="18" t="s">
        <v>449</v>
      </c>
      <c r="C153" s="17" t="s">
        <v>450</v>
      </c>
      <c r="D153" s="17" t="s">
        <v>479</v>
      </c>
      <c r="E153" s="17" t="s">
        <v>452</v>
      </c>
      <c r="F153" s="19"/>
      <c r="G153" s="20">
        <v>1.0</v>
      </c>
      <c r="H153" s="21">
        <v>36.3</v>
      </c>
      <c r="I153" s="21">
        <v>24.0</v>
      </c>
      <c r="J153" s="22">
        <v>12715.0</v>
      </c>
      <c r="K153" s="50"/>
      <c r="L153" s="21" t="str">
        <f>IF(K153&gt;0,K153*I153,"")</f>
      </c>
      <c r="M153" s="52"/>
      <c r="N153" t="str">
        <f>IF(K153&gt;0,COUNTIF($K$7:K153,"&gt;0"),"")</f>
      </c>
      <c r="O153" t="s">
        <v>480</v>
      </c>
      <c r="P153" t="s">
        <v>478</v>
      </c>
    </row>
    <row r="154" spans="1:16" customHeight="1" ht="58">
      <c r="A154" s="16"/>
      <c r="B154" s="18" t="s">
        <v>449</v>
      </c>
      <c r="C154" s="17" t="s">
        <v>450</v>
      </c>
      <c r="D154" s="17" t="s">
        <v>482</v>
      </c>
      <c r="E154" s="17" t="s">
        <v>452</v>
      </c>
      <c r="F154" s="19"/>
      <c r="G154" s="20">
        <v>1.0</v>
      </c>
      <c r="H154" s="21">
        <v>36.3</v>
      </c>
      <c r="I154" s="21">
        <v>24.0</v>
      </c>
      <c r="J154" s="22">
        <v>4969.0</v>
      </c>
      <c r="K154" s="50"/>
      <c r="L154" s="21" t="str">
        <f>IF(K154&gt;0,K154*I154,"")</f>
      </c>
      <c r="M154" s="52"/>
      <c r="N154" t="str">
        <f>IF(K154&gt;0,COUNTIF($K$7:K154,"&gt;0"),"")</f>
      </c>
      <c r="O154" t="s">
        <v>483</v>
      </c>
      <c r="P154" t="s">
        <v>481</v>
      </c>
    </row>
    <row r="155" spans="1:16" customHeight="1" ht="58">
      <c r="A155" s="16"/>
      <c r="B155" s="18" t="s">
        <v>449</v>
      </c>
      <c r="C155" s="17" t="s">
        <v>450</v>
      </c>
      <c r="D155" s="17" t="s">
        <v>485</v>
      </c>
      <c r="E155" s="17" t="s">
        <v>452</v>
      </c>
      <c r="F155" s="19"/>
      <c r="G155" s="20">
        <v>1.0</v>
      </c>
      <c r="H155" s="21">
        <v>36.3</v>
      </c>
      <c r="I155" s="21">
        <v>24.0</v>
      </c>
      <c r="J155" s="22">
        <v>6831.0</v>
      </c>
      <c r="K155" s="50"/>
      <c r="L155" s="21" t="str">
        <f>IF(K155&gt;0,K155*I155,"")</f>
      </c>
      <c r="M155" s="52"/>
      <c r="N155" t="str">
        <f>IF(K155&gt;0,COUNTIF($K$7:K155,"&gt;0"),"")</f>
      </c>
      <c r="O155" t="s">
        <v>486</v>
      </c>
      <c r="P155" t="s">
        <v>484</v>
      </c>
    </row>
    <row r="156" spans="1:16" customHeight="1" ht="58">
      <c r="A156" s="16"/>
      <c r="B156" s="18" t="s">
        <v>449</v>
      </c>
      <c r="C156" s="17" t="s">
        <v>450</v>
      </c>
      <c r="D156" s="17" t="s">
        <v>488</v>
      </c>
      <c r="E156" s="17" t="s">
        <v>452</v>
      </c>
      <c r="F156" s="19"/>
      <c r="G156" s="20">
        <v>1.0</v>
      </c>
      <c r="H156" s="21">
        <v>36.3</v>
      </c>
      <c r="I156" s="21">
        <v>24.0</v>
      </c>
      <c r="J156" s="22">
        <v>3267.0</v>
      </c>
      <c r="K156" s="50"/>
      <c r="L156" s="21" t="str">
        <f>IF(K156&gt;0,K156*I156,"")</f>
      </c>
      <c r="M156" s="52"/>
      <c r="N156" t="str">
        <f>IF(K156&gt;0,COUNTIF($K$7:K156,"&gt;0"),"")</f>
      </c>
      <c r="O156" t="s">
        <v>489</v>
      </c>
      <c r="P156" t="s">
        <v>487</v>
      </c>
    </row>
    <row r="157" spans="1:16" customHeight="1" ht="58">
      <c r="A157" s="16"/>
      <c r="B157" s="18" t="s">
        <v>449</v>
      </c>
      <c r="C157" s="17" t="s">
        <v>450</v>
      </c>
      <c r="D157" s="17" t="s">
        <v>491</v>
      </c>
      <c r="E157" s="17" t="s">
        <v>452</v>
      </c>
      <c r="F157" s="19"/>
      <c r="G157" s="20">
        <v>1.0</v>
      </c>
      <c r="H157" s="21">
        <v>36.3</v>
      </c>
      <c r="I157" s="21">
        <v>24.0</v>
      </c>
      <c r="J157" s="22">
        <v>800.0</v>
      </c>
      <c r="K157" s="50"/>
      <c r="L157" s="21" t="str">
        <f>IF(K157&gt;0,K157*I157,"")</f>
      </c>
      <c r="M157" s="52"/>
      <c r="N157" t="str">
        <f>IF(K157&gt;0,COUNTIF($K$7:K157,"&gt;0"),"")</f>
      </c>
      <c r="O157" t="s">
        <v>492</v>
      </c>
      <c r="P157" t="s">
        <v>490</v>
      </c>
    </row>
    <row r="158" spans="1:16" customHeight="1" ht="58">
      <c r="A158" s="16"/>
      <c r="B158" s="18" t="s">
        <v>449</v>
      </c>
      <c r="C158" s="17" t="s">
        <v>450</v>
      </c>
      <c r="D158" s="17" t="s">
        <v>494</v>
      </c>
      <c r="E158" s="17" t="s">
        <v>452</v>
      </c>
      <c r="F158" s="19"/>
      <c r="G158" s="20">
        <v>1.0</v>
      </c>
      <c r="H158" s="21">
        <v>36.3</v>
      </c>
      <c r="I158" s="21">
        <v>24.0</v>
      </c>
      <c r="J158" s="22">
        <v>10260.0</v>
      </c>
      <c r="K158" s="50"/>
      <c r="L158" s="21" t="str">
        <f>IF(K158&gt;0,K158*I158,"")</f>
      </c>
      <c r="M158" s="52"/>
      <c r="N158" t="str">
        <f>IF(K158&gt;0,COUNTIF($K$7:K158,"&gt;0"),"")</f>
      </c>
      <c r="O158" t="s">
        <v>495</v>
      </c>
      <c r="P158" t="s">
        <v>493</v>
      </c>
    </row>
    <row r="159" spans="1:16" customHeight="1" ht="58">
      <c r="A159" s="16"/>
      <c r="B159" s="18" t="s">
        <v>449</v>
      </c>
      <c r="C159" s="17" t="s">
        <v>450</v>
      </c>
      <c r="D159" s="17" t="s">
        <v>208</v>
      </c>
      <c r="E159" s="17" t="s">
        <v>452</v>
      </c>
      <c r="F159" s="19"/>
      <c r="G159" s="20">
        <v>1.0</v>
      </c>
      <c r="H159" s="21">
        <v>36.3</v>
      </c>
      <c r="I159" s="21">
        <v>24.0</v>
      </c>
      <c r="J159" s="22">
        <v>7805.0</v>
      </c>
      <c r="K159" s="50"/>
      <c r="L159" s="21" t="str">
        <f>IF(K159&gt;0,K159*I159,"")</f>
      </c>
      <c r="M159" s="52"/>
      <c r="N159" t="str">
        <f>IF(K159&gt;0,COUNTIF($K$7:K159,"&gt;0"),"")</f>
      </c>
      <c r="O159" t="s">
        <v>497</v>
      </c>
      <c r="P159" t="s">
        <v>496</v>
      </c>
    </row>
    <row r="160" spans="1:16" customHeight="1" ht="58">
      <c r="A160" s="16"/>
      <c r="B160" s="18" t="s">
        <v>449</v>
      </c>
      <c r="C160" s="17" t="s">
        <v>450</v>
      </c>
      <c r="D160" s="17" t="s">
        <v>499</v>
      </c>
      <c r="E160" s="17" t="s">
        <v>452</v>
      </c>
      <c r="F160" s="19"/>
      <c r="G160" s="20">
        <v>1.0</v>
      </c>
      <c r="H160" s="21">
        <v>36.3</v>
      </c>
      <c r="I160" s="21">
        <v>24.0</v>
      </c>
      <c r="J160" s="22">
        <v>5191.0</v>
      </c>
      <c r="K160" s="50"/>
      <c r="L160" s="21" t="str">
        <f>IF(K160&gt;0,K160*I160,"")</f>
      </c>
      <c r="M160" s="52"/>
      <c r="N160" t="str">
        <f>IF(K160&gt;0,COUNTIF($K$7:K160,"&gt;0"),"")</f>
      </c>
      <c r="O160" t="s">
        <v>500</v>
      </c>
      <c r="P160" t="s">
        <v>498</v>
      </c>
    </row>
    <row r="161" spans="1:16" customHeight="1" ht="58">
      <c r="A161" s="16"/>
      <c r="B161" s="18" t="s">
        <v>449</v>
      </c>
      <c r="C161" s="17" t="s">
        <v>450</v>
      </c>
      <c r="D161" s="17" t="s">
        <v>502</v>
      </c>
      <c r="E161" s="17" t="s">
        <v>452</v>
      </c>
      <c r="F161" s="19"/>
      <c r="G161" s="20">
        <v>1.0</v>
      </c>
      <c r="H161" s="21">
        <v>36.3</v>
      </c>
      <c r="I161" s="21">
        <v>24.0</v>
      </c>
      <c r="J161" s="22">
        <v>635.0</v>
      </c>
      <c r="K161" s="50"/>
      <c r="L161" s="21" t="str">
        <f>IF(K161&gt;0,K161*I161,"")</f>
      </c>
      <c r="M161" s="52"/>
      <c r="N161" t="str">
        <f>IF(K161&gt;0,COUNTIF($K$7:K161,"&gt;0"),"")</f>
      </c>
      <c r="O161" t="s">
        <v>503</v>
      </c>
      <c r="P161" t="s">
        <v>501</v>
      </c>
    </row>
    <row r="162" spans="1:16" customHeight="1" ht="58">
      <c r="A162" s="16"/>
      <c r="B162" s="18" t="s">
        <v>449</v>
      </c>
      <c r="C162" s="17" t="s">
        <v>450</v>
      </c>
      <c r="D162" s="17" t="s">
        <v>505</v>
      </c>
      <c r="E162" s="17" t="s">
        <v>452</v>
      </c>
      <c r="F162" s="19"/>
      <c r="G162" s="20">
        <v>1.0</v>
      </c>
      <c r="H162" s="21">
        <v>36.3</v>
      </c>
      <c r="I162" s="21">
        <v>24.0</v>
      </c>
      <c r="J162" s="22">
        <v>11018.0</v>
      </c>
      <c r="K162" s="50"/>
      <c r="L162" s="21" t="str">
        <f>IF(K162&gt;0,K162*I162,"")</f>
      </c>
      <c r="M162" s="52"/>
      <c r="N162" t="str">
        <f>IF(K162&gt;0,COUNTIF($K$7:K162,"&gt;0"),"")</f>
      </c>
      <c r="O162" t="s">
        <v>506</v>
      </c>
      <c r="P162" t="s">
        <v>504</v>
      </c>
    </row>
    <row r="163" spans="1:16" customHeight="1" ht="58">
      <c r="A163" s="16"/>
      <c r="B163" s="18" t="s">
        <v>449</v>
      </c>
      <c r="C163" s="17" t="s">
        <v>450</v>
      </c>
      <c r="D163" s="17" t="s">
        <v>508</v>
      </c>
      <c r="E163" s="17" t="s">
        <v>452</v>
      </c>
      <c r="F163" s="19"/>
      <c r="G163" s="20">
        <v>1.0</v>
      </c>
      <c r="H163" s="21">
        <v>36.3</v>
      </c>
      <c r="I163" s="21">
        <v>24.0</v>
      </c>
      <c r="J163" s="22">
        <v>4198.0</v>
      </c>
      <c r="K163" s="50"/>
      <c r="L163" s="21" t="str">
        <f>IF(K163&gt;0,K163*I163,"")</f>
      </c>
      <c r="M163" s="52"/>
      <c r="N163" t="str">
        <f>IF(K163&gt;0,COUNTIF($K$7:K163,"&gt;0"),"")</f>
      </c>
      <c r="O163" t="s">
        <v>509</v>
      </c>
      <c r="P163" t="s">
        <v>507</v>
      </c>
    </row>
    <row r="164" spans="1:16" customHeight="1" ht="58">
      <c r="A164" s="16"/>
      <c r="B164" s="18" t="s">
        <v>449</v>
      </c>
      <c r="C164" s="17" t="s">
        <v>450</v>
      </c>
      <c r="D164" s="17" t="s">
        <v>511</v>
      </c>
      <c r="E164" s="17" t="s">
        <v>452</v>
      </c>
      <c r="F164" s="19"/>
      <c r="G164" s="20">
        <v>1.0</v>
      </c>
      <c r="H164" s="21">
        <v>36.3</v>
      </c>
      <c r="I164" s="21">
        <v>24.0</v>
      </c>
      <c r="J164" s="22">
        <v>3090.0</v>
      </c>
      <c r="K164" s="50"/>
      <c r="L164" s="21" t="str">
        <f>IF(K164&gt;0,K164*I164,"")</f>
      </c>
      <c r="M164" s="52"/>
      <c r="N164" t="str">
        <f>IF(K164&gt;0,COUNTIF($K$7:K164,"&gt;0"),"")</f>
      </c>
      <c r="O164" t="s">
        <v>512</v>
      </c>
      <c r="P164" t="s">
        <v>510</v>
      </c>
    </row>
    <row r="165" spans="1:16" customHeight="1" ht="58">
      <c r="A165" s="16"/>
      <c r="B165" s="18" t="s">
        <v>449</v>
      </c>
      <c r="C165" s="17" t="s">
        <v>450</v>
      </c>
      <c r="D165" s="17" t="s">
        <v>514</v>
      </c>
      <c r="E165" s="17" t="s">
        <v>452</v>
      </c>
      <c r="F165" s="19"/>
      <c r="G165" s="20">
        <v>1.0</v>
      </c>
      <c r="H165" s="21">
        <v>36.3</v>
      </c>
      <c r="I165" s="21">
        <v>24.0</v>
      </c>
      <c r="J165" s="22">
        <v>879.0</v>
      </c>
      <c r="K165" s="50"/>
      <c r="L165" s="21" t="str">
        <f>IF(K165&gt;0,K165*I165,"")</f>
      </c>
      <c r="M165" s="52"/>
      <c r="N165" t="str">
        <f>IF(K165&gt;0,COUNTIF($K$7:K165,"&gt;0"),"")</f>
      </c>
      <c r="O165" t="s">
        <v>515</v>
      </c>
      <c r="P165" t="s">
        <v>513</v>
      </c>
    </row>
    <row r="166" spans="1:16" customHeight="1" ht="58">
      <c r="A166" s="16"/>
      <c r="B166" s="18" t="s">
        <v>449</v>
      </c>
      <c r="C166" s="17" t="s">
        <v>450</v>
      </c>
      <c r="D166" s="17" t="s">
        <v>517</v>
      </c>
      <c r="E166" s="17" t="s">
        <v>452</v>
      </c>
      <c r="F166" s="19"/>
      <c r="G166" s="20">
        <v>1.0</v>
      </c>
      <c r="H166" s="21">
        <v>36.3</v>
      </c>
      <c r="I166" s="21">
        <v>24.0</v>
      </c>
      <c r="J166" s="22">
        <v>6959.0</v>
      </c>
      <c r="K166" s="50"/>
      <c r="L166" s="21" t="str">
        <f>IF(K166&gt;0,K166*I166,"")</f>
      </c>
      <c r="M166" s="52"/>
      <c r="N166" t="str">
        <f>IF(K166&gt;0,COUNTIF($K$7:K166,"&gt;0"),"")</f>
      </c>
      <c r="O166" t="s">
        <v>518</v>
      </c>
      <c r="P166" t="s">
        <v>516</v>
      </c>
    </row>
    <row r="167" spans="1:16" customHeight="1" ht="58">
      <c r="A167" s="16"/>
      <c r="B167" s="18" t="s">
        <v>449</v>
      </c>
      <c r="C167" s="17" t="s">
        <v>450</v>
      </c>
      <c r="D167" s="17" t="s">
        <v>520</v>
      </c>
      <c r="E167" s="17" t="s">
        <v>452</v>
      </c>
      <c r="F167" s="19"/>
      <c r="G167" s="20">
        <v>1.0</v>
      </c>
      <c r="H167" s="21">
        <v>36.3</v>
      </c>
      <c r="I167" s="21">
        <v>24.0</v>
      </c>
      <c r="J167" s="22">
        <v>5941.0</v>
      </c>
      <c r="K167" s="50"/>
      <c r="L167" s="21" t="str">
        <f>IF(K167&gt;0,K167*I167,"")</f>
      </c>
      <c r="M167" s="52"/>
      <c r="N167" t="str">
        <f>IF(K167&gt;0,COUNTIF($K$7:K167,"&gt;0"),"")</f>
      </c>
      <c r="O167" t="s">
        <v>521</v>
      </c>
      <c r="P167" t="s">
        <v>519</v>
      </c>
    </row>
    <row r="168" spans="1:16" customHeight="1" ht="58">
      <c r="A168" s="16"/>
      <c r="B168" s="18" t="s">
        <v>449</v>
      </c>
      <c r="C168" s="17" t="s">
        <v>450</v>
      </c>
      <c r="D168" s="17" t="s">
        <v>523</v>
      </c>
      <c r="E168" s="17" t="s">
        <v>452</v>
      </c>
      <c r="F168" s="19"/>
      <c r="G168" s="20">
        <v>1.0</v>
      </c>
      <c r="H168" s="21">
        <v>36.3</v>
      </c>
      <c r="I168" s="21">
        <v>24.0</v>
      </c>
      <c r="J168" s="22">
        <v>4683.0</v>
      </c>
      <c r="K168" s="50"/>
      <c r="L168" s="21" t="str">
        <f>IF(K168&gt;0,K168*I168,"")</f>
      </c>
      <c r="M168" s="52"/>
      <c r="N168" t="str">
        <f>IF(K168&gt;0,COUNTIF($K$7:K168,"&gt;0"),"")</f>
      </c>
      <c r="O168" t="s">
        <v>524</v>
      </c>
      <c r="P168" t="s">
        <v>522</v>
      </c>
    </row>
    <row r="169" spans="1:16" customHeight="1" ht="58">
      <c r="A169" s="16"/>
      <c r="B169" s="18" t="s">
        <v>449</v>
      </c>
      <c r="C169" s="17" t="s">
        <v>450</v>
      </c>
      <c r="D169" s="17" t="s">
        <v>526</v>
      </c>
      <c r="E169" s="17" t="s">
        <v>452</v>
      </c>
      <c r="F169" s="19"/>
      <c r="G169" s="20">
        <v>1.0</v>
      </c>
      <c r="H169" s="21">
        <v>36.3</v>
      </c>
      <c r="I169" s="21">
        <v>24.0</v>
      </c>
      <c r="J169" s="22">
        <v>5998.0</v>
      </c>
      <c r="K169" s="50"/>
      <c r="L169" s="21" t="str">
        <f>IF(K169&gt;0,K169*I169,"")</f>
      </c>
      <c r="M169" s="52"/>
      <c r="N169" t="str">
        <f>IF(K169&gt;0,COUNTIF($K$7:K169,"&gt;0"),"")</f>
      </c>
      <c r="O169" t="s">
        <v>527</v>
      </c>
      <c r="P169" t="s">
        <v>525</v>
      </c>
    </row>
    <row r="170" spans="1:16" customHeight="1" ht="58">
      <c r="A170" s="16"/>
      <c r="B170" s="18" t="s">
        <v>529</v>
      </c>
      <c r="C170" s="17" t="s">
        <v>450</v>
      </c>
      <c r="D170" s="17" t="s">
        <v>530</v>
      </c>
      <c r="E170" s="17" t="s">
        <v>531</v>
      </c>
      <c r="F170" s="19"/>
      <c r="G170" s="20">
        <v>1.0</v>
      </c>
      <c r="H170" s="21">
        <v>57.2</v>
      </c>
      <c r="I170" s="21">
        <v>35.0</v>
      </c>
      <c r="J170" s="22">
        <v>3124.0</v>
      </c>
      <c r="K170" s="50"/>
      <c r="L170" s="21" t="str">
        <f>IF(K170&gt;0,K170*I170,"")</f>
      </c>
      <c r="M170" s="52"/>
      <c r="N170" t="str">
        <f>IF(K170&gt;0,COUNTIF($K$7:K170,"&gt;0"),"")</f>
      </c>
      <c r="O170" t="s">
        <v>532</v>
      </c>
      <c r="P170" t="s">
        <v>528</v>
      </c>
    </row>
    <row r="171" spans="1:16" customHeight="1" ht="58">
      <c r="A171" s="16"/>
      <c r="B171" s="18" t="s">
        <v>529</v>
      </c>
      <c r="C171" s="17" t="s">
        <v>450</v>
      </c>
      <c r="D171" s="17" t="s">
        <v>517</v>
      </c>
      <c r="E171" s="17" t="s">
        <v>531</v>
      </c>
      <c r="F171" s="19"/>
      <c r="G171" s="20">
        <v>1.0</v>
      </c>
      <c r="H171" s="21">
        <v>57.2</v>
      </c>
      <c r="I171" s="21">
        <v>35.0</v>
      </c>
      <c r="J171" s="22">
        <v>3806.0</v>
      </c>
      <c r="K171" s="50"/>
      <c r="L171" s="21" t="str">
        <f>IF(K171&gt;0,K171*I171,"")</f>
      </c>
      <c r="M171" s="52"/>
      <c r="N171" t="str">
        <f>IF(K171&gt;0,COUNTIF($K$7:K171,"&gt;0"),"")</f>
      </c>
      <c r="O171" t="s">
        <v>534</v>
      </c>
      <c r="P171" t="s">
        <v>533</v>
      </c>
    </row>
    <row r="172" spans="1:16" customHeight="1" ht="58">
      <c r="A172" s="16"/>
      <c r="B172" s="18" t="s">
        <v>529</v>
      </c>
      <c r="C172" s="17" t="s">
        <v>450</v>
      </c>
      <c r="D172" s="17" t="s">
        <v>508</v>
      </c>
      <c r="E172" s="17" t="s">
        <v>531</v>
      </c>
      <c r="F172" s="19"/>
      <c r="G172" s="20">
        <v>1.0</v>
      </c>
      <c r="H172" s="21">
        <v>57.2</v>
      </c>
      <c r="I172" s="21">
        <v>35.0</v>
      </c>
      <c r="J172" s="22">
        <v>5220.0</v>
      </c>
      <c r="K172" s="50"/>
      <c r="L172" s="21" t="str">
        <f>IF(K172&gt;0,K172*I172,"")</f>
      </c>
      <c r="M172" s="52"/>
      <c r="N172" t="str">
        <f>IF(K172&gt;0,COUNTIF($K$7:K172,"&gt;0"),"")</f>
      </c>
      <c r="O172" t="s">
        <v>536</v>
      </c>
      <c r="P172" t="s">
        <v>535</v>
      </c>
    </row>
    <row r="173" spans="1:16" customHeight="1" ht="58">
      <c r="A173" s="16"/>
      <c r="B173" s="18" t="s">
        <v>529</v>
      </c>
      <c r="C173" s="17" t="s">
        <v>450</v>
      </c>
      <c r="D173" s="17" t="s">
        <v>455</v>
      </c>
      <c r="E173" s="17" t="s">
        <v>531</v>
      </c>
      <c r="F173" s="19"/>
      <c r="G173" s="20">
        <v>1.0</v>
      </c>
      <c r="H173" s="21">
        <v>57.2</v>
      </c>
      <c r="I173" s="21">
        <v>35.0</v>
      </c>
      <c r="J173" s="22">
        <v>3306.0</v>
      </c>
      <c r="K173" s="50"/>
      <c r="L173" s="21" t="str">
        <f>IF(K173&gt;0,K173*I173,"")</f>
      </c>
      <c r="M173" s="52"/>
      <c r="N173" t="str">
        <f>IF(K173&gt;0,COUNTIF($K$7:K173,"&gt;0"),"")</f>
      </c>
      <c r="O173" t="s">
        <v>538</v>
      </c>
      <c r="P173" t="s">
        <v>537</v>
      </c>
    </row>
    <row r="174" spans="1:16" customHeight="1" ht="58">
      <c r="A174" s="16"/>
      <c r="B174" s="18" t="s">
        <v>529</v>
      </c>
      <c r="C174" s="17" t="s">
        <v>450</v>
      </c>
      <c r="D174" s="17" t="s">
        <v>540</v>
      </c>
      <c r="E174" s="17" t="s">
        <v>531</v>
      </c>
      <c r="F174" s="19"/>
      <c r="G174" s="20">
        <v>1.0</v>
      </c>
      <c r="H174" s="21">
        <v>57.2</v>
      </c>
      <c r="I174" s="21">
        <v>35.0</v>
      </c>
      <c r="J174" s="22">
        <v>4608.0</v>
      </c>
      <c r="K174" s="50"/>
      <c r="L174" s="21" t="str">
        <f>IF(K174&gt;0,K174*I174,"")</f>
      </c>
      <c r="M174" s="52"/>
      <c r="N174" t="str">
        <f>IF(K174&gt;0,COUNTIF($K$7:K174,"&gt;0"),"")</f>
      </c>
      <c r="O174" t="s">
        <v>541</v>
      </c>
      <c r="P174" t="s">
        <v>539</v>
      </c>
    </row>
    <row r="175" spans="1:16" customHeight="1" ht="58">
      <c r="A175" s="16"/>
      <c r="B175" s="18" t="s">
        <v>529</v>
      </c>
      <c r="C175" s="17" t="s">
        <v>450</v>
      </c>
      <c r="D175" s="17" t="s">
        <v>505</v>
      </c>
      <c r="E175" s="17" t="s">
        <v>531</v>
      </c>
      <c r="F175" s="19"/>
      <c r="G175" s="20">
        <v>1.0</v>
      </c>
      <c r="H175" s="21">
        <v>57.2</v>
      </c>
      <c r="I175" s="21">
        <v>35.0</v>
      </c>
      <c r="J175" s="22">
        <v>2887.0</v>
      </c>
      <c r="K175" s="50"/>
      <c r="L175" s="21" t="str">
        <f>IF(K175&gt;0,K175*I175,"")</f>
      </c>
      <c r="M175" s="52"/>
      <c r="N175" t="str">
        <f>IF(K175&gt;0,COUNTIF($K$7:K175,"&gt;0"),"")</f>
      </c>
      <c r="O175" t="s">
        <v>543</v>
      </c>
      <c r="P175" t="s">
        <v>542</v>
      </c>
    </row>
    <row r="176" spans="1:16" customHeight="1" ht="58">
      <c r="A176" s="16"/>
      <c r="B176" s="18" t="s">
        <v>529</v>
      </c>
      <c r="C176" s="17" t="s">
        <v>450</v>
      </c>
      <c r="D176" s="17" t="s">
        <v>479</v>
      </c>
      <c r="E176" s="17" t="s">
        <v>531</v>
      </c>
      <c r="F176" s="19"/>
      <c r="G176" s="20">
        <v>1.0</v>
      </c>
      <c r="H176" s="21">
        <v>57.2</v>
      </c>
      <c r="I176" s="21">
        <v>35.0</v>
      </c>
      <c r="J176" s="22">
        <v>2677.0</v>
      </c>
      <c r="K176" s="50"/>
      <c r="L176" s="21" t="str">
        <f>IF(K176&gt;0,K176*I176,"")</f>
      </c>
      <c r="M176" s="52"/>
      <c r="N176" t="str">
        <f>IF(K176&gt;0,COUNTIF($K$7:K176,"&gt;0"),"")</f>
      </c>
      <c r="O176" t="s">
        <v>545</v>
      </c>
      <c r="P176" t="s">
        <v>544</v>
      </c>
    </row>
    <row r="177" spans="1:16" customHeight="1" ht="58">
      <c r="A177" s="16"/>
      <c r="B177" s="18" t="s">
        <v>529</v>
      </c>
      <c r="C177" s="17" t="s">
        <v>450</v>
      </c>
      <c r="D177" s="17" t="s">
        <v>514</v>
      </c>
      <c r="E177" s="17" t="s">
        <v>531</v>
      </c>
      <c r="F177" s="19"/>
      <c r="G177" s="20">
        <v>1.0</v>
      </c>
      <c r="H177" s="21">
        <v>57.2</v>
      </c>
      <c r="I177" s="21">
        <v>35.0</v>
      </c>
      <c r="J177" s="22">
        <v>800.0</v>
      </c>
      <c r="K177" s="50"/>
      <c r="L177" s="21" t="str">
        <f>IF(K177&gt;0,K177*I177,"")</f>
      </c>
      <c r="M177" s="52"/>
      <c r="N177" t="str">
        <f>IF(K177&gt;0,COUNTIF($K$7:K177,"&gt;0"),"")</f>
      </c>
      <c r="O177" t="s">
        <v>547</v>
      </c>
      <c r="P177" t="s">
        <v>546</v>
      </c>
    </row>
    <row r="178" spans="1:16" customHeight="1" ht="58">
      <c r="A178" s="16"/>
      <c r="B178" s="18" t="s">
        <v>529</v>
      </c>
      <c r="C178" s="17" t="s">
        <v>450</v>
      </c>
      <c r="D178" s="17" t="s">
        <v>470</v>
      </c>
      <c r="E178" s="17" t="s">
        <v>531</v>
      </c>
      <c r="F178" s="19"/>
      <c r="G178" s="20">
        <v>1.0</v>
      </c>
      <c r="H178" s="21">
        <v>57.2</v>
      </c>
      <c r="I178" s="21">
        <v>35.0</v>
      </c>
      <c r="J178" s="22">
        <v>2899.0</v>
      </c>
      <c r="K178" s="50"/>
      <c r="L178" s="21" t="str">
        <f>IF(K178&gt;0,K178*I178,"")</f>
      </c>
      <c r="M178" s="52"/>
      <c r="N178" t="str">
        <f>IF(K178&gt;0,COUNTIF($K$7:K178,"&gt;0"),"")</f>
      </c>
      <c r="O178" t="s">
        <v>549</v>
      </c>
      <c r="P178" t="s">
        <v>548</v>
      </c>
    </row>
    <row r="179" spans="1:16" customHeight="1" ht="58">
      <c r="A179" s="16"/>
      <c r="B179" s="18" t="s">
        <v>529</v>
      </c>
      <c r="C179" s="17" t="s">
        <v>450</v>
      </c>
      <c r="D179" s="17" t="s">
        <v>458</v>
      </c>
      <c r="E179" s="17" t="s">
        <v>531</v>
      </c>
      <c r="F179" s="19"/>
      <c r="G179" s="20">
        <v>1.0</v>
      </c>
      <c r="H179" s="21">
        <v>57.2</v>
      </c>
      <c r="I179" s="21">
        <v>35.0</v>
      </c>
      <c r="J179" s="22">
        <v>8400.0</v>
      </c>
      <c r="K179" s="50"/>
      <c r="L179" s="21" t="str">
        <f>IF(K179&gt;0,K179*I179,"")</f>
      </c>
      <c r="M179" s="52"/>
      <c r="N179" t="str">
        <f>IF(K179&gt;0,COUNTIF($K$7:K179,"&gt;0"),"")</f>
      </c>
      <c r="O179" t="s">
        <v>551</v>
      </c>
      <c r="P179" t="s">
        <v>550</v>
      </c>
    </row>
    <row r="180" spans="1:16" customHeight="1" ht="58">
      <c r="A180" s="16"/>
      <c r="B180" s="18" t="s">
        <v>529</v>
      </c>
      <c r="C180" s="17" t="s">
        <v>450</v>
      </c>
      <c r="D180" s="17" t="s">
        <v>464</v>
      </c>
      <c r="E180" s="17" t="s">
        <v>531</v>
      </c>
      <c r="F180" s="19"/>
      <c r="G180" s="20">
        <v>1.0</v>
      </c>
      <c r="H180" s="21">
        <v>57.2</v>
      </c>
      <c r="I180" s="21">
        <v>35.0</v>
      </c>
      <c r="J180" s="22">
        <v>6000.0</v>
      </c>
      <c r="K180" s="50"/>
      <c r="L180" s="21" t="str">
        <f>IF(K180&gt;0,K180*I180,"")</f>
      </c>
      <c r="M180" s="52"/>
      <c r="N180" t="str">
        <f>IF(K180&gt;0,COUNTIF($K$7:K180,"&gt;0"),"")</f>
      </c>
      <c r="O180" t="s">
        <v>553</v>
      </c>
      <c r="P180" t="s">
        <v>552</v>
      </c>
    </row>
    <row r="181" spans="1:16" customHeight="1" ht="58">
      <c r="A181" s="16"/>
      <c r="B181" s="18" t="s">
        <v>529</v>
      </c>
      <c r="C181" s="17" t="s">
        <v>450</v>
      </c>
      <c r="D181" s="17" t="s">
        <v>451</v>
      </c>
      <c r="E181" s="17" t="s">
        <v>531</v>
      </c>
      <c r="F181" s="19"/>
      <c r="G181" s="20">
        <v>1.0</v>
      </c>
      <c r="H181" s="21">
        <v>57.2</v>
      </c>
      <c r="I181" s="21">
        <v>35.0</v>
      </c>
      <c r="J181" s="22">
        <v>2280.0</v>
      </c>
      <c r="K181" s="50"/>
      <c r="L181" s="21" t="str">
        <f>IF(K181&gt;0,K181*I181,"")</f>
      </c>
      <c r="M181" s="52"/>
      <c r="N181" t="str">
        <f>IF(K181&gt;0,COUNTIF($K$7:K181,"&gt;0"),"")</f>
      </c>
      <c r="O181" t="s">
        <v>555</v>
      </c>
      <c r="P181" t="s">
        <v>554</v>
      </c>
    </row>
    <row r="182" spans="1:16" customHeight="1" ht="58">
      <c r="A182" s="16"/>
      <c r="B182" s="18" t="s">
        <v>529</v>
      </c>
      <c r="C182" s="17" t="s">
        <v>450</v>
      </c>
      <c r="D182" s="17" t="s">
        <v>473</v>
      </c>
      <c r="E182" s="17" t="s">
        <v>531</v>
      </c>
      <c r="F182" s="19"/>
      <c r="G182" s="20">
        <v>1.0</v>
      </c>
      <c r="H182" s="21">
        <v>57.2</v>
      </c>
      <c r="I182" s="21">
        <v>35.0</v>
      </c>
      <c r="J182" s="22">
        <v>4657.0</v>
      </c>
      <c r="K182" s="50"/>
      <c r="L182" s="21" t="str">
        <f>IF(K182&gt;0,K182*I182,"")</f>
      </c>
      <c r="M182" s="52"/>
      <c r="N182" t="str">
        <f>IF(K182&gt;0,COUNTIF($K$7:K182,"&gt;0"),"")</f>
      </c>
      <c r="O182" t="s">
        <v>557</v>
      </c>
      <c r="P182" t="s">
        <v>556</v>
      </c>
    </row>
    <row r="183" spans="1:16" customHeight="1" ht="58">
      <c r="A183" s="16"/>
      <c r="B183" s="18" t="s">
        <v>529</v>
      </c>
      <c r="C183" s="17" t="s">
        <v>450</v>
      </c>
      <c r="D183" s="17" t="s">
        <v>559</v>
      </c>
      <c r="E183" s="17" t="s">
        <v>531</v>
      </c>
      <c r="F183" s="19"/>
      <c r="G183" s="20">
        <v>1.0</v>
      </c>
      <c r="H183" s="21">
        <v>57.2</v>
      </c>
      <c r="I183" s="21">
        <v>35.0</v>
      </c>
      <c r="J183" s="22">
        <v>3319.0</v>
      </c>
      <c r="K183" s="50"/>
      <c r="L183" s="21" t="str">
        <f>IF(K183&gt;0,K183*I183,"")</f>
      </c>
      <c r="M183" s="52"/>
      <c r="N183" t="str">
        <f>IF(K183&gt;0,COUNTIF($K$7:K183,"&gt;0"),"")</f>
      </c>
      <c r="O183" t="s">
        <v>560</v>
      </c>
      <c r="P183" t="s">
        <v>558</v>
      </c>
    </row>
    <row r="184" spans="1:16" customHeight="1" ht="58">
      <c r="A184" s="16"/>
      <c r="B184" s="18" t="s">
        <v>529</v>
      </c>
      <c r="C184" s="17" t="s">
        <v>450</v>
      </c>
      <c r="D184" s="17" t="s">
        <v>562</v>
      </c>
      <c r="E184" s="17" t="s">
        <v>531</v>
      </c>
      <c r="F184" s="19"/>
      <c r="G184" s="20">
        <v>1.0</v>
      </c>
      <c r="H184" s="21">
        <v>57.2</v>
      </c>
      <c r="I184" s="21">
        <v>35.0</v>
      </c>
      <c r="J184" s="22">
        <v>800.0</v>
      </c>
      <c r="K184" s="50"/>
      <c r="L184" s="21" t="str">
        <f>IF(K184&gt;0,K184*I184,"")</f>
      </c>
      <c r="M184" s="52"/>
      <c r="N184" t="str">
        <f>IF(K184&gt;0,COUNTIF($K$7:K184,"&gt;0"),"")</f>
      </c>
      <c r="O184" t="s">
        <v>553</v>
      </c>
      <c r="P184" t="s">
        <v>561</v>
      </c>
    </row>
    <row r="185" spans="1:16" customHeight="1" ht="58">
      <c r="A185" s="16"/>
      <c r="B185" s="18" t="s">
        <v>529</v>
      </c>
      <c r="C185" s="17" t="s">
        <v>450</v>
      </c>
      <c r="D185" s="17" t="s">
        <v>485</v>
      </c>
      <c r="E185" s="17" t="s">
        <v>531</v>
      </c>
      <c r="F185" s="19"/>
      <c r="G185" s="20">
        <v>1.0</v>
      </c>
      <c r="H185" s="21">
        <v>57.2</v>
      </c>
      <c r="I185" s="21">
        <v>35.0</v>
      </c>
      <c r="J185" s="22">
        <v>12000.0</v>
      </c>
      <c r="K185" s="50"/>
      <c r="L185" s="21" t="str">
        <f>IF(K185&gt;0,K185*I185,"")</f>
      </c>
      <c r="M185" s="52"/>
      <c r="N185" t="str">
        <f>IF(K185&gt;0,COUNTIF($K$7:K185,"&gt;0"),"")</f>
      </c>
      <c r="O185" t="s">
        <v>564</v>
      </c>
      <c r="P185" t="s">
        <v>563</v>
      </c>
    </row>
    <row r="186" spans="1:16" customHeight="1" ht="58">
      <c r="A186" s="16"/>
      <c r="B186" s="18" t="s">
        <v>529</v>
      </c>
      <c r="C186" s="17" t="s">
        <v>450</v>
      </c>
      <c r="D186" s="17" t="s">
        <v>176</v>
      </c>
      <c r="E186" s="17" t="s">
        <v>531</v>
      </c>
      <c r="F186" s="19"/>
      <c r="G186" s="20">
        <v>1.0</v>
      </c>
      <c r="H186" s="21">
        <v>57.2</v>
      </c>
      <c r="I186" s="21">
        <v>35.0</v>
      </c>
      <c r="J186" s="22">
        <v>3017.0</v>
      </c>
      <c r="K186" s="50"/>
      <c r="L186" s="21" t="str">
        <f>IF(K186&gt;0,K186*I186,"")</f>
      </c>
      <c r="M186" s="52"/>
      <c r="N186" t="str">
        <f>IF(K186&gt;0,COUNTIF($K$7:K186,"&gt;0"),"")</f>
      </c>
      <c r="O186" t="s">
        <v>566</v>
      </c>
      <c r="P186" t="s">
        <v>565</v>
      </c>
    </row>
    <row r="187" spans="1:16" customHeight="1" ht="58">
      <c r="A187" s="16"/>
      <c r="B187" s="18" t="s">
        <v>529</v>
      </c>
      <c r="C187" s="17" t="s">
        <v>450</v>
      </c>
      <c r="D187" s="17" t="s">
        <v>461</v>
      </c>
      <c r="E187" s="17" t="s">
        <v>531</v>
      </c>
      <c r="F187" s="19"/>
      <c r="G187" s="20">
        <v>1.0</v>
      </c>
      <c r="H187" s="21">
        <v>57.2</v>
      </c>
      <c r="I187" s="21">
        <v>35.0</v>
      </c>
      <c r="J187" s="22">
        <v>2805.0</v>
      </c>
      <c r="K187" s="50"/>
      <c r="L187" s="21" t="str">
        <f>IF(K187&gt;0,K187*I187,"")</f>
      </c>
      <c r="M187" s="52"/>
      <c r="N187" t="str">
        <f>IF(K187&gt;0,COUNTIF($K$7:K187,"&gt;0"),"")</f>
      </c>
      <c r="O187" t="s">
        <v>568</v>
      </c>
      <c r="P187" t="s">
        <v>567</v>
      </c>
    </row>
    <row r="188" spans="1:16" customHeight="1" ht="58">
      <c r="A188" s="16"/>
      <c r="B188" s="18" t="s">
        <v>529</v>
      </c>
      <c r="C188" s="17" t="s">
        <v>450</v>
      </c>
      <c r="D188" s="17" t="s">
        <v>494</v>
      </c>
      <c r="E188" s="17" t="s">
        <v>531</v>
      </c>
      <c r="F188" s="19"/>
      <c r="G188" s="20">
        <v>1.0</v>
      </c>
      <c r="H188" s="21">
        <v>57.2</v>
      </c>
      <c r="I188" s="21">
        <v>35.0</v>
      </c>
      <c r="J188" s="22">
        <v>1480.0</v>
      </c>
      <c r="K188" s="50"/>
      <c r="L188" s="21" t="str">
        <f>IF(K188&gt;0,K188*I188,"")</f>
      </c>
      <c r="M188" s="52"/>
      <c r="N188" t="str">
        <f>IF(K188&gt;0,COUNTIF($K$7:K188,"&gt;0"),"")</f>
      </c>
      <c r="O188" t="s">
        <v>570</v>
      </c>
      <c r="P188" t="s">
        <v>569</v>
      </c>
    </row>
    <row r="189" spans="1:16" customHeight="1" ht="58">
      <c r="A189" s="16"/>
      <c r="B189" s="18" t="s">
        <v>572</v>
      </c>
      <c r="C189" s="17" t="s">
        <v>450</v>
      </c>
      <c r="D189" s="17" t="s">
        <v>573</v>
      </c>
      <c r="E189" s="17" t="s">
        <v>574</v>
      </c>
      <c r="F189" s="19" t="s">
        <v>575</v>
      </c>
      <c r="G189" s="20">
        <v>5.0</v>
      </c>
      <c r="H189" s="21">
        <v>66.0</v>
      </c>
      <c r="I189" s="21">
        <v>39.0</v>
      </c>
      <c r="J189" s="22">
        <v>10893.0</v>
      </c>
      <c r="K189" s="50"/>
      <c r="L189" s="21" t="str">
        <f>IF(K189&gt;0,K189*I189,"")</f>
      </c>
      <c r="M189" s="52"/>
      <c r="N189" t="str">
        <f>IF(K189&gt;0,COUNTIF($K$7:K189,"&gt;0"),"")</f>
      </c>
      <c r="O189" t="s">
        <v>576</v>
      </c>
      <c r="P189" t="s">
        <v>571</v>
      </c>
    </row>
    <row r="190" spans="1:16" customHeight="1" ht="58">
      <c r="A190" s="16"/>
      <c r="B190" s="18" t="s">
        <v>572</v>
      </c>
      <c r="C190" s="17" t="s">
        <v>450</v>
      </c>
      <c r="D190" s="17" t="s">
        <v>578</v>
      </c>
      <c r="E190" s="17" t="s">
        <v>574</v>
      </c>
      <c r="F190" s="19" t="s">
        <v>575</v>
      </c>
      <c r="G190" s="20">
        <v>5.0</v>
      </c>
      <c r="H190" s="21">
        <v>66.0</v>
      </c>
      <c r="I190" s="21">
        <v>39.0</v>
      </c>
      <c r="J190" s="22">
        <v>3000.0</v>
      </c>
      <c r="K190" s="50"/>
      <c r="L190" s="21" t="str">
        <f>IF(K190&gt;0,K190*I190,"")</f>
      </c>
      <c r="M190" s="52"/>
      <c r="N190" t="str">
        <f>IF(K190&gt;0,COUNTIF($K$7:K190,"&gt;0"),"")</f>
      </c>
      <c r="O190" t="s">
        <v>579</v>
      </c>
      <c r="P190" t="s">
        <v>577</v>
      </c>
    </row>
    <row r="191" spans="1:16" customHeight="1" ht="58">
      <c r="A191" s="16"/>
      <c r="B191" s="18" t="s">
        <v>572</v>
      </c>
      <c r="C191" s="17" t="s">
        <v>450</v>
      </c>
      <c r="D191" s="17" t="s">
        <v>467</v>
      </c>
      <c r="E191" s="17" t="s">
        <v>574</v>
      </c>
      <c r="F191" s="19" t="s">
        <v>575</v>
      </c>
      <c r="G191" s="20">
        <v>5.0</v>
      </c>
      <c r="H191" s="21">
        <v>66.0</v>
      </c>
      <c r="I191" s="21">
        <v>39.0</v>
      </c>
      <c r="J191" s="22">
        <v>32265.0</v>
      </c>
      <c r="K191" s="50"/>
      <c r="L191" s="21" t="str">
        <f>IF(K191&gt;0,K191*I191,"")</f>
      </c>
      <c r="M191" s="52"/>
      <c r="N191" t="str">
        <f>IF(K191&gt;0,COUNTIF($K$7:K191,"&gt;0"),"")</f>
      </c>
      <c r="O191" t="s">
        <v>581</v>
      </c>
      <c r="P191" t="s">
        <v>580</v>
      </c>
    </row>
    <row r="192" spans="1:16" customHeight="1" ht="58">
      <c r="A192" s="16"/>
      <c r="B192" s="18" t="s">
        <v>572</v>
      </c>
      <c r="C192" s="17" t="s">
        <v>450</v>
      </c>
      <c r="D192" s="17" t="s">
        <v>583</v>
      </c>
      <c r="E192" s="17" t="s">
        <v>574</v>
      </c>
      <c r="F192" s="19" t="s">
        <v>575</v>
      </c>
      <c r="G192" s="20">
        <v>5.0</v>
      </c>
      <c r="H192" s="21">
        <v>66.0</v>
      </c>
      <c r="I192" s="21">
        <v>39.0</v>
      </c>
      <c r="J192" s="22">
        <v>3256.0</v>
      </c>
      <c r="K192" s="50"/>
      <c r="L192" s="21" t="str">
        <f>IF(K192&gt;0,K192*I192,"")</f>
      </c>
      <c r="M192" s="52"/>
      <c r="N192" t="str">
        <f>IF(K192&gt;0,COUNTIF($K$7:K192,"&gt;0"),"")</f>
      </c>
      <c r="O192" t="s">
        <v>584</v>
      </c>
      <c r="P192" t="s">
        <v>582</v>
      </c>
    </row>
    <row r="193" spans="1:16" customHeight="1" ht="58">
      <c r="A193" s="16"/>
      <c r="B193" s="18" t="s">
        <v>572</v>
      </c>
      <c r="C193" s="17" t="s">
        <v>450</v>
      </c>
      <c r="D193" s="17" t="s">
        <v>586</v>
      </c>
      <c r="E193" s="17" t="s">
        <v>574</v>
      </c>
      <c r="F193" s="19" t="s">
        <v>575</v>
      </c>
      <c r="G193" s="20">
        <v>5.0</v>
      </c>
      <c r="H193" s="21">
        <v>66.0</v>
      </c>
      <c r="I193" s="21">
        <v>39.0</v>
      </c>
      <c r="J193" s="22">
        <v>4884.0</v>
      </c>
      <c r="K193" s="50"/>
      <c r="L193" s="21" t="str">
        <f>IF(K193&gt;0,K193*I193,"")</f>
      </c>
      <c r="M193" s="52"/>
      <c r="N193" t="str">
        <f>IF(K193&gt;0,COUNTIF($K$7:K193,"&gt;0"),"")</f>
      </c>
      <c r="O193" t="s">
        <v>587</v>
      </c>
      <c r="P193" t="s">
        <v>585</v>
      </c>
    </row>
    <row r="194" spans="1:16" customHeight="1" ht="58">
      <c r="A194" s="16"/>
      <c r="B194" s="18" t="s">
        <v>572</v>
      </c>
      <c r="C194" s="17" t="s">
        <v>450</v>
      </c>
      <c r="D194" s="17" t="s">
        <v>589</v>
      </c>
      <c r="E194" s="17" t="s">
        <v>574</v>
      </c>
      <c r="F194" s="19" t="s">
        <v>575</v>
      </c>
      <c r="G194" s="20">
        <v>5.0</v>
      </c>
      <c r="H194" s="21">
        <v>66.0</v>
      </c>
      <c r="I194" s="21">
        <v>39.0</v>
      </c>
      <c r="J194" s="22">
        <v>2995.0</v>
      </c>
      <c r="K194" s="50"/>
      <c r="L194" s="21" t="str">
        <f>IF(K194&gt;0,K194*I194,"")</f>
      </c>
      <c r="M194" s="52"/>
      <c r="N194" t="str">
        <f>IF(K194&gt;0,COUNTIF($K$7:K194,"&gt;0"),"")</f>
      </c>
      <c r="O194" t="s">
        <v>590</v>
      </c>
      <c r="P194" t="s">
        <v>588</v>
      </c>
    </row>
    <row r="195" spans="1:16" customHeight="1" ht="58">
      <c r="A195" s="16"/>
      <c r="B195" s="18" t="s">
        <v>572</v>
      </c>
      <c r="C195" s="17" t="s">
        <v>450</v>
      </c>
      <c r="D195" s="17" t="s">
        <v>517</v>
      </c>
      <c r="E195" s="17" t="s">
        <v>574</v>
      </c>
      <c r="F195" s="19" t="s">
        <v>575</v>
      </c>
      <c r="G195" s="20">
        <v>5.0</v>
      </c>
      <c r="H195" s="21">
        <v>66.0</v>
      </c>
      <c r="I195" s="21">
        <v>39.0</v>
      </c>
      <c r="J195" s="22">
        <v>20085.0</v>
      </c>
      <c r="K195" s="50"/>
      <c r="L195" s="21" t="str">
        <f>IF(K195&gt;0,K195*I195,"")</f>
      </c>
      <c r="M195" s="52"/>
      <c r="N195" t="str">
        <f>IF(K195&gt;0,COUNTIF($K$7:K195,"&gt;0"),"")</f>
      </c>
      <c r="O195" t="s">
        <v>592</v>
      </c>
      <c r="P195" t="s">
        <v>591</v>
      </c>
    </row>
    <row r="196" spans="1:16" customHeight="1" ht="58">
      <c r="A196" s="16"/>
      <c r="B196" s="18" t="s">
        <v>572</v>
      </c>
      <c r="C196" s="17" t="s">
        <v>450</v>
      </c>
      <c r="D196" s="17" t="s">
        <v>540</v>
      </c>
      <c r="E196" s="17" t="s">
        <v>574</v>
      </c>
      <c r="F196" s="19" t="s">
        <v>575</v>
      </c>
      <c r="G196" s="20">
        <v>5.0</v>
      </c>
      <c r="H196" s="21">
        <v>66.0</v>
      </c>
      <c r="I196" s="21">
        <v>39.0</v>
      </c>
      <c r="J196" s="22">
        <v>5978.0</v>
      </c>
      <c r="K196" s="50"/>
      <c r="L196" s="21" t="str">
        <f>IF(K196&gt;0,K196*I196,"")</f>
      </c>
      <c r="M196" s="52"/>
      <c r="N196" t="str">
        <f>IF(K196&gt;0,COUNTIF($K$7:K196,"&gt;0"),"")</f>
      </c>
      <c r="O196" t="s">
        <v>594</v>
      </c>
      <c r="P196" t="s">
        <v>593</v>
      </c>
    </row>
    <row r="197" spans="1:16" customHeight="1" ht="58">
      <c r="A197" s="16"/>
      <c r="B197" s="18" t="s">
        <v>572</v>
      </c>
      <c r="C197" s="17" t="s">
        <v>450</v>
      </c>
      <c r="D197" s="17" t="s">
        <v>596</v>
      </c>
      <c r="E197" s="17" t="s">
        <v>574</v>
      </c>
      <c r="F197" s="19" t="s">
        <v>575</v>
      </c>
      <c r="G197" s="20">
        <v>5.0</v>
      </c>
      <c r="H197" s="21">
        <v>66.0</v>
      </c>
      <c r="I197" s="21">
        <v>39.0</v>
      </c>
      <c r="J197" s="22">
        <v>2100.0</v>
      </c>
      <c r="K197" s="50"/>
      <c r="L197" s="21" t="str">
        <f>IF(K197&gt;0,K197*I197,"")</f>
      </c>
      <c r="M197" s="52"/>
      <c r="N197" t="str">
        <f>IF(K197&gt;0,COUNTIF($K$7:K197,"&gt;0"),"")</f>
      </c>
      <c r="O197" t="s">
        <v>597</v>
      </c>
      <c r="P197" t="s">
        <v>595</v>
      </c>
    </row>
    <row r="198" spans="1:16" customHeight="1" ht="58">
      <c r="A198" s="16"/>
      <c r="B198" s="18" t="s">
        <v>572</v>
      </c>
      <c r="C198" s="17" t="s">
        <v>450</v>
      </c>
      <c r="D198" s="17" t="s">
        <v>599</v>
      </c>
      <c r="E198" s="17" t="s">
        <v>574</v>
      </c>
      <c r="F198" s="19" t="s">
        <v>575</v>
      </c>
      <c r="G198" s="20">
        <v>5.0</v>
      </c>
      <c r="H198" s="21">
        <v>66.0</v>
      </c>
      <c r="I198" s="21">
        <v>39.0</v>
      </c>
      <c r="J198" s="22">
        <v>2100.0</v>
      </c>
      <c r="K198" s="50"/>
      <c r="L198" s="21" t="str">
        <f>IF(K198&gt;0,K198*I198,"")</f>
      </c>
      <c r="M198" s="52"/>
      <c r="N198" t="str">
        <f>IF(K198&gt;0,COUNTIF($K$7:K198,"&gt;0"),"")</f>
      </c>
      <c r="O198" t="s">
        <v>600</v>
      </c>
      <c r="P198" t="s">
        <v>598</v>
      </c>
    </row>
    <row r="199" spans="1:16" customHeight="1" ht="58">
      <c r="A199" s="16"/>
      <c r="B199" s="18" t="s">
        <v>572</v>
      </c>
      <c r="C199" s="17" t="s">
        <v>450</v>
      </c>
      <c r="D199" s="17" t="s">
        <v>485</v>
      </c>
      <c r="E199" s="17" t="s">
        <v>574</v>
      </c>
      <c r="F199" s="19" t="s">
        <v>575</v>
      </c>
      <c r="G199" s="20">
        <v>5.0</v>
      </c>
      <c r="H199" s="21">
        <v>66.0</v>
      </c>
      <c r="I199" s="21">
        <v>39.0</v>
      </c>
      <c r="J199" s="22">
        <v>95835.0</v>
      </c>
      <c r="K199" s="50"/>
      <c r="L199" s="21" t="str">
        <f>IF(K199&gt;0,K199*I199,"")</f>
      </c>
      <c r="M199" s="52"/>
      <c r="N199" t="str">
        <f>IF(K199&gt;0,COUNTIF($K$7:K199,"&gt;0"),"")</f>
      </c>
      <c r="O199" t="s">
        <v>602</v>
      </c>
      <c r="P199" t="s">
        <v>601</v>
      </c>
    </row>
    <row r="200" spans="1:16" customHeight="1" ht="58">
      <c r="A200" s="16"/>
      <c r="B200" s="18" t="s">
        <v>572</v>
      </c>
      <c r="C200" s="17" t="s">
        <v>450</v>
      </c>
      <c r="D200" s="17" t="s">
        <v>604</v>
      </c>
      <c r="E200" s="17" t="s">
        <v>574</v>
      </c>
      <c r="F200" s="19" t="s">
        <v>575</v>
      </c>
      <c r="G200" s="20">
        <v>5.0</v>
      </c>
      <c r="H200" s="21">
        <v>66.0</v>
      </c>
      <c r="I200" s="21">
        <v>39.0</v>
      </c>
      <c r="J200" s="22">
        <v>4496.0</v>
      </c>
      <c r="K200" s="50"/>
      <c r="L200" s="21" t="str">
        <f>IF(K200&gt;0,K200*I200,"")</f>
      </c>
      <c r="M200" s="52"/>
      <c r="N200" t="str">
        <f>IF(K200&gt;0,COUNTIF($K$7:K200,"&gt;0"),"")</f>
      </c>
      <c r="O200" t="s">
        <v>605</v>
      </c>
      <c r="P200" t="s">
        <v>603</v>
      </c>
    </row>
    <row r="201" spans="1:16" customHeight="1" ht="58">
      <c r="A201" s="16"/>
      <c r="B201" s="18" t="s">
        <v>572</v>
      </c>
      <c r="C201" s="17" t="s">
        <v>450</v>
      </c>
      <c r="D201" s="17" t="s">
        <v>607</v>
      </c>
      <c r="E201" s="17" t="s">
        <v>574</v>
      </c>
      <c r="F201" s="19" t="s">
        <v>575</v>
      </c>
      <c r="G201" s="20">
        <v>5.0</v>
      </c>
      <c r="H201" s="21">
        <v>66.0</v>
      </c>
      <c r="I201" s="21">
        <v>39.0</v>
      </c>
      <c r="J201" s="22">
        <v>4235.0</v>
      </c>
      <c r="K201" s="50"/>
      <c r="L201" s="21" t="str">
        <f>IF(K201&gt;0,K201*I201,"")</f>
      </c>
      <c r="M201" s="52"/>
      <c r="N201" t="str">
        <f>IF(K201&gt;0,COUNTIF($K$7:K201,"&gt;0"),"")</f>
      </c>
      <c r="O201" t="s">
        <v>608</v>
      </c>
      <c r="P201" t="s">
        <v>606</v>
      </c>
    </row>
    <row r="202" spans="1:16" customHeight="1" ht="58">
      <c r="A202" s="16"/>
      <c r="B202" s="18" t="s">
        <v>572</v>
      </c>
      <c r="C202" s="17" t="s">
        <v>450</v>
      </c>
      <c r="D202" s="17" t="s">
        <v>458</v>
      </c>
      <c r="E202" s="17" t="s">
        <v>574</v>
      </c>
      <c r="F202" s="19" t="s">
        <v>575</v>
      </c>
      <c r="G202" s="20">
        <v>5.0</v>
      </c>
      <c r="H202" s="21">
        <v>66.0</v>
      </c>
      <c r="I202" s="21">
        <v>39.0</v>
      </c>
      <c r="J202" s="22">
        <v>26205.0</v>
      </c>
      <c r="K202" s="50"/>
      <c r="L202" s="21" t="str">
        <f>IF(K202&gt;0,K202*I202,"")</f>
      </c>
      <c r="M202" s="52"/>
      <c r="N202" t="str">
        <f>IF(K202&gt;0,COUNTIF($K$7:K202,"&gt;0"),"")</f>
      </c>
      <c r="O202" t="s">
        <v>610</v>
      </c>
      <c r="P202" t="s">
        <v>609</v>
      </c>
    </row>
    <row r="203" spans="1:16" customHeight="1" ht="58">
      <c r="A203" s="16"/>
      <c r="B203" s="18" t="s">
        <v>572</v>
      </c>
      <c r="C203" s="17" t="s">
        <v>450</v>
      </c>
      <c r="D203" s="17" t="s">
        <v>530</v>
      </c>
      <c r="E203" s="17" t="s">
        <v>574</v>
      </c>
      <c r="F203" s="19" t="s">
        <v>575</v>
      </c>
      <c r="G203" s="20">
        <v>5.0</v>
      </c>
      <c r="H203" s="21">
        <v>66.0</v>
      </c>
      <c r="I203" s="21">
        <v>39.0</v>
      </c>
      <c r="J203" s="22">
        <v>20097.0</v>
      </c>
      <c r="K203" s="50"/>
      <c r="L203" s="21" t="str">
        <f>IF(K203&gt;0,K203*I203,"")</f>
      </c>
      <c r="M203" s="52"/>
      <c r="N203" t="str">
        <f>IF(K203&gt;0,COUNTIF($K$7:K203,"&gt;0"),"")</f>
      </c>
      <c r="O203" t="s">
        <v>612</v>
      </c>
      <c r="P203" t="s">
        <v>611</v>
      </c>
    </row>
    <row r="204" spans="1:16" customHeight="1" ht="58">
      <c r="A204" s="16"/>
      <c r="B204" s="18" t="s">
        <v>572</v>
      </c>
      <c r="C204" s="17" t="s">
        <v>450</v>
      </c>
      <c r="D204" s="17" t="s">
        <v>494</v>
      </c>
      <c r="E204" s="17" t="s">
        <v>574</v>
      </c>
      <c r="F204" s="19" t="s">
        <v>575</v>
      </c>
      <c r="G204" s="20">
        <v>5.0</v>
      </c>
      <c r="H204" s="21">
        <v>66.0</v>
      </c>
      <c r="I204" s="21">
        <v>39.0</v>
      </c>
      <c r="J204" s="22">
        <v>18158.0</v>
      </c>
      <c r="K204" s="50"/>
      <c r="L204" s="21" t="str">
        <f>IF(K204&gt;0,K204*I204,"")</f>
      </c>
      <c r="M204" s="52"/>
      <c r="N204" t="str">
        <f>IF(K204&gt;0,COUNTIF($K$7:K204,"&gt;0"),"")</f>
      </c>
      <c r="O204" t="s">
        <v>614</v>
      </c>
      <c r="P204" t="s">
        <v>613</v>
      </c>
    </row>
    <row r="205" spans="1:16" customHeight="1" ht="58">
      <c r="A205" s="16"/>
      <c r="B205" s="18" t="s">
        <v>572</v>
      </c>
      <c r="C205" s="17" t="s">
        <v>450</v>
      </c>
      <c r="D205" s="17" t="s">
        <v>616</v>
      </c>
      <c r="E205" s="17" t="s">
        <v>574</v>
      </c>
      <c r="F205" s="19" t="s">
        <v>575</v>
      </c>
      <c r="G205" s="20">
        <v>5.0</v>
      </c>
      <c r="H205" s="21">
        <v>66.0</v>
      </c>
      <c r="I205" s="21">
        <v>39.0</v>
      </c>
      <c r="J205" s="22">
        <v>10488.0</v>
      </c>
      <c r="K205" s="50"/>
      <c r="L205" s="21" t="str">
        <f>IF(K205&gt;0,K205*I205,"")</f>
      </c>
      <c r="M205" s="52"/>
      <c r="N205" t="str">
        <f>IF(K205&gt;0,COUNTIF($K$7:K205,"&gt;0"),"")</f>
      </c>
      <c r="O205" t="s">
        <v>617</v>
      </c>
      <c r="P205" t="s">
        <v>615</v>
      </c>
    </row>
    <row r="206" spans="1:16" customHeight="1" ht="58">
      <c r="A206" s="16"/>
      <c r="B206" s="18" t="s">
        <v>572</v>
      </c>
      <c r="C206" s="17" t="s">
        <v>450</v>
      </c>
      <c r="D206" s="17" t="s">
        <v>619</v>
      </c>
      <c r="E206" s="17" t="s">
        <v>574</v>
      </c>
      <c r="F206" s="19" t="s">
        <v>575</v>
      </c>
      <c r="G206" s="20">
        <v>5.0</v>
      </c>
      <c r="H206" s="21">
        <v>66.0</v>
      </c>
      <c r="I206" s="21">
        <v>39.0</v>
      </c>
      <c r="J206" s="22">
        <v>1610.0</v>
      </c>
      <c r="K206" s="50"/>
      <c r="L206" s="21" t="str">
        <f>IF(K206&gt;0,K206*I206,"")</f>
      </c>
      <c r="M206" s="52"/>
      <c r="N206" t="str">
        <f>IF(K206&gt;0,COUNTIF($K$7:K206,"&gt;0"),"")</f>
      </c>
      <c r="O206" t="s">
        <v>620</v>
      </c>
      <c r="P206" t="s">
        <v>618</v>
      </c>
    </row>
    <row r="207" spans="1:16" customHeight="1" ht="58">
      <c r="A207" s="16"/>
      <c r="B207" s="18" t="s">
        <v>572</v>
      </c>
      <c r="C207" s="17" t="s">
        <v>450</v>
      </c>
      <c r="D207" s="17" t="s">
        <v>622</v>
      </c>
      <c r="E207" s="17" t="s">
        <v>574</v>
      </c>
      <c r="F207" s="19" t="s">
        <v>575</v>
      </c>
      <c r="G207" s="20">
        <v>5.0</v>
      </c>
      <c r="H207" s="21">
        <v>66.0</v>
      </c>
      <c r="I207" s="21">
        <v>39.0</v>
      </c>
      <c r="J207" s="22">
        <v>11285.0</v>
      </c>
      <c r="K207" s="50"/>
      <c r="L207" s="21" t="str">
        <f>IF(K207&gt;0,K207*I207,"")</f>
      </c>
      <c r="M207" s="52"/>
      <c r="N207" t="str">
        <f>IF(K207&gt;0,COUNTIF($K$7:K207,"&gt;0"),"")</f>
      </c>
      <c r="O207" t="s">
        <v>623</v>
      </c>
      <c r="P207" t="s">
        <v>621</v>
      </c>
    </row>
    <row r="208" spans="1:16" customHeight="1" ht="58">
      <c r="A208" s="16"/>
      <c r="B208" s="18" t="s">
        <v>572</v>
      </c>
      <c r="C208" s="17" t="s">
        <v>450</v>
      </c>
      <c r="D208" s="17" t="s">
        <v>625</v>
      </c>
      <c r="E208" s="17" t="s">
        <v>574</v>
      </c>
      <c r="F208" s="19" t="s">
        <v>575</v>
      </c>
      <c r="G208" s="20">
        <v>5.0</v>
      </c>
      <c r="H208" s="21">
        <v>66.0</v>
      </c>
      <c r="I208" s="21">
        <v>39.0</v>
      </c>
      <c r="J208" s="22">
        <v>635.0</v>
      </c>
      <c r="K208" s="50"/>
      <c r="L208" s="21" t="str">
        <f>IF(K208&gt;0,K208*I208,"")</f>
      </c>
      <c r="M208" s="52"/>
      <c r="N208" t="str">
        <f>IF(K208&gt;0,COUNTIF($K$7:K208,"&gt;0"),"")</f>
      </c>
      <c r="O208" t="s">
        <v>626</v>
      </c>
      <c r="P208" t="s">
        <v>624</v>
      </c>
    </row>
    <row r="209" spans="1:16" customHeight="1" ht="58">
      <c r="A209" s="16"/>
      <c r="B209" s="18" t="s">
        <v>572</v>
      </c>
      <c r="C209" s="17" t="s">
        <v>450</v>
      </c>
      <c r="D209" s="17" t="s">
        <v>628</v>
      </c>
      <c r="E209" s="17" t="s">
        <v>574</v>
      </c>
      <c r="F209" s="19" t="s">
        <v>575</v>
      </c>
      <c r="G209" s="20">
        <v>5.0</v>
      </c>
      <c r="H209" s="21">
        <v>66.0</v>
      </c>
      <c r="I209" s="21">
        <v>39.0</v>
      </c>
      <c r="J209" s="22">
        <v>4210.0</v>
      </c>
      <c r="K209" s="50"/>
      <c r="L209" s="21" t="str">
        <f>IF(K209&gt;0,K209*I209,"")</f>
      </c>
      <c r="M209" s="52"/>
      <c r="N209" t="str">
        <f>IF(K209&gt;0,COUNTIF($K$7:K209,"&gt;0"),"")</f>
      </c>
      <c r="O209" t="s">
        <v>629</v>
      </c>
      <c r="P209" t="s">
        <v>627</v>
      </c>
    </row>
    <row r="210" spans="1:16" customHeight="1" ht="58">
      <c r="A210" s="16"/>
      <c r="B210" s="18" t="s">
        <v>572</v>
      </c>
      <c r="C210" s="17" t="s">
        <v>450</v>
      </c>
      <c r="D210" s="17" t="s">
        <v>451</v>
      </c>
      <c r="E210" s="17" t="s">
        <v>574</v>
      </c>
      <c r="F210" s="19" t="s">
        <v>575</v>
      </c>
      <c r="G210" s="20">
        <v>5.0</v>
      </c>
      <c r="H210" s="21">
        <v>66.0</v>
      </c>
      <c r="I210" s="21">
        <v>39.0</v>
      </c>
      <c r="J210" s="22">
        <v>5998.0</v>
      </c>
      <c r="K210" s="50"/>
      <c r="L210" s="21" t="str">
        <f>IF(K210&gt;0,K210*I210,"")</f>
      </c>
      <c r="M210" s="52"/>
      <c r="N210" t="str">
        <f>IF(K210&gt;0,COUNTIF($K$7:K210,"&gt;0"),"")</f>
      </c>
      <c r="O210" t="s">
        <v>631</v>
      </c>
      <c r="P210" t="s">
        <v>630</v>
      </c>
    </row>
    <row r="211" spans="1:16" customHeight="1" ht="58">
      <c r="A211" s="16"/>
      <c r="B211" s="18" t="s">
        <v>572</v>
      </c>
      <c r="C211" s="17" t="s">
        <v>450</v>
      </c>
      <c r="D211" s="17" t="s">
        <v>505</v>
      </c>
      <c r="E211" s="17" t="s">
        <v>574</v>
      </c>
      <c r="F211" s="19" t="s">
        <v>575</v>
      </c>
      <c r="G211" s="20">
        <v>5.0</v>
      </c>
      <c r="H211" s="21">
        <v>66.0</v>
      </c>
      <c r="I211" s="21">
        <v>39.0</v>
      </c>
      <c r="J211" s="22">
        <v>9681.0</v>
      </c>
      <c r="K211" s="50"/>
      <c r="L211" s="21" t="str">
        <f>IF(K211&gt;0,K211*I211,"")</f>
      </c>
      <c r="M211" s="52"/>
      <c r="N211" t="str">
        <f>IF(K211&gt;0,COUNTIF($K$7:K211,"&gt;0"),"")</f>
      </c>
      <c r="O211" t="s">
        <v>633</v>
      </c>
      <c r="P211" t="s">
        <v>632</v>
      </c>
    </row>
    <row r="212" spans="1:16" customHeight="1" ht="58">
      <c r="A212" s="16"/>
      <c r="B212" s="18" t="s">
        <v>572</v>
      </c>
      <c r="C212" s="17" t="s">
        <v>450</v>
      </c>
      <c r="D212" s="17" t="s">
        <v>635</v>
      </c>
      <c r="E212" s="17" t="s">
        <v>574</v>
      </c>
      <c r="F212" s="19" t="s">
        <v>575</v>
      </c>
      <c r="G212" s="20">
        <v>5.0</v>
      </c>
      <c r="H212" s="21">
        <v>66.0</v>
      </c>
      <c r="I212" s="21">
        <v>39.0</v>
      </c>
      <c r="J212" s="22">
        <v>12978.0</v>
      </c>
      <c r="K212" s="50"/>
      <c r="L212" s="21" t="str">
        <f>IF(K212&gt;0,K212*I212,"")</f>
      </c>
      <c r="M212" s="52"/>
      <c r="N212" t="str">
        <f>IF(K212&gt;0,COUNTIF($K$7:K212,"&gt;0"),"")</f>
      </c>
      <c r="O212" t="s">
        <v>636</v>
      </c>
      <c r="P212" t="s">
        <v>634</v>
      </c>
    </row>
    <row r="213" spans="1:16" customHeight="1" ht="58">
      <c r="A213" s="16"/>
      <c r="B213" s="18" t="s">
        <v>572</v>
      </c>
      <c r="C213" s="17" t="s">
        <v>450</v>
      </c>
      <c r="D213" s="17" t="s">
        <v>523</v>
      </c>
      <c r="E213" s="17" t="s">
        <v>574</v>
      </c>
      <c r="F213" s="19" t="s">
        <v>575</v>
      </c>
      <c r="G213" s="20">
        <v>5.0</v>
      </c>
      <c r="H213" s="21">
        <v>66.0</v>
      </c>
      <c r="I213" s="21">
        <v>39.0</v>
      </c>
      <c r="J213" s="22">
        <v>8396.0</v>
      </c>
      <c r="K213" s="50"/>
      <c r="L213" s="21" t="str">
        <f>IF(K213&gt;0,K213*I213,"")</f>
      </c>
      <c r="M213" s="52"/>
      <c r="N213" t="str">
        <f>IF(K213&gt;0,COUNTIF($K$7:K213,"&gt;0"),"")</f>
      </c>
      <c r="O213" t="s">
        <v>638</v>
      </c>
      <c r="P213" t="s">
        <v>637</v>
      </c>
    </row>
    <row r="214" spans="1:16" customHeight="1" ht="58">
      <c r="A214" s="16"/>
      <c r="B214" s="18" t="s">
        <v>572</v>
      </c>
      <c r="C214" s="17" t="s">
        <v>450</v>
      </c>
      <c r="D214" s="17" t="s">
        <v>640</v>
      </c>
      <c r="E214" s="17" t="s">
        <v>574</v>
      </c>
      <c r="F214" s="19" t="s">
        <v>575</v>
      </c>
      <c r="G214" s="20">
        <v>5.0</v>
      </c>
      <c r="H214" s="21">
        <v>66.0</v>
      </c>
      <c r="I214" s="21">
        <v>39.0</v>
      </c>
      <c r="J214" s="22">
        <v>3697.0</v>
      </c>
      <c r="K214" s="50"/>
      <c r="L214" s="21" t="str">
        <f>IF(K214&gt;0,K214*I214,"")</f>
      </c>
      <c r="M214" s="52"/>
      <c r="N214" t="str">
        <f>IF(K214&gt;0,COUNTIF($K$7:K214,"&gt;0"),"")</f>
      </c>
      <c r="O214" t="s">
        <v>641</v>
      </c>
      <c r="P214" t="s">
        <v>639</v>
      </c>
    </row>
    <row r="215" spans="1:16" customHeight="1" ht="58">
      <c r="A215" s="16"/>
      <c r="B215" s="18" t="s">
        <v>572</v>
      </c>
      <c r="C215" s="17" t="s">
        <v>450</v>
      </c>
      <c r="D215" s="17" t="s">
        <v>479</v>
      </c>
      <c r="E215" s="17" t="s">
        <v>574</v>
      </c>
      <c r="F215" s="19" t="s">
        <v>575</v>
      </c>
      <c r="G215" s="20">
        <v>5.0</v>
      </c>
      <c r="H215" s="21">
        <v>66.0</v>
      </c>
      <c r="I215" s="21">
        <v>39.0</v>
      </c>
      <c r="J215" s="22">
        <v>5674.0</v>
      </c>
      <c r="K215" s="50"/>
      <c r="L215" s="21" t="str">
        <f>IF(K215&gt;0,K215*I215,"")</f>
      </c>
      <c r="M215" s="52"/>
      <c r="N215" t="str">
        <f>IF(K215&gt;0,COUNTIF($K$7:K215,"&gt;0"),"")</f>
      </c>
      <c r="O215" t="s">
        <v>643</v>
      </c>
      <c r="P215" t="s">
        <v>642</v>
      </c>
    </row>
    <row r="216" spans="1:16" customHeight="1" ht="58">
      <c r="A216" s="16"/>
      <c r="B216" s="18" t="s">
        <v>572</v>
      </c>
      <c r="C216" s="17" t="s">
        <v>450</v>
      </c>
      <c r="D216" s="17" t="s">
        <v>559</v>
      </c>
      <c r="E216" s="17" t="s">
        <v>574</v>
      </c>
      <c r="F216" s="19" t="s">
        <v>575</v>
      </c>
      <c r="G216" s="20">
        <v>5.0</v>
      </c>
      <c r="H216" s="21">
        <v>66.0</v>
      </c>
      <c r="I216" s="21">
        <v>39.0</v>
      </c>
      <c r="J216" s="22">
        <v>11480.0</v>
      </c>
      <c r="K216" s="50"/>
      <c r="L216" s="21" t="str">
        <f>IF(K216&gt;0,K216*I216,"")</f>
      </c>
      <c r="M216" s="52"/>
      <c r="N216" t="str">
        <f>IF(K216&gt;0,COUNTIF($K$7:K216,"&gt;0"),"")</f>
      </c>
      <c r="O216" t="s">
        <v>645</v>
      </c>
      <c r="P216" t="s">
        <v>644</v>
      </c>
    </row>
    <row r="217" spans="1:16" customHeight="1" ht="58">
      <c r="A217" s="16"/>
      <c r="B217" s="18" t="s">
        <v>572</v>
      </c>
      <c r="C217" s="17" t="s">
        <v>450</v>
      </c>
      <c r="D217" s="17" t="s">
        <v>520</v>
      </c>
      <c r="E217" s="17" t="s">
        <v>574</v>
      </c>
      <c r="F217" s="19" t="s">
        <v>575</v>
      </c>
      <c r="G217" s="20">
        <v>5.0</v>
      </c>
      <c r="H217" s="21">
        <v>66.0</v>
      </c>
      <c r="I217" s="21">
        <v>39.0</v>
      </c>
      <c r="J217" s="22">
        <v>17479.0</v>
      </c>
      <c r="K217" s="50"/>
      <c r="L217" s="21" t="str">
        <f>IF(K217&gt;0,K217*I217,"")</f>
      </c>
      <c r="M217" s="52"/>
      <c r="N217" t="str">
        <f>IF(K217&gt;0,COUNTIF($K$7:K217,"&gt;0"),"")</f>
      </c>
      <c r="O217" t="s">
        <v>647</v>
      </c>
      <c r="P217" t="s">
        <v>646</v>
      </c>
    </row>
    <row r="218" spans="1:16" customHeight="1" ht="58">
      <c r="A218" s="16"/>
      <c r="B218" s="18" t="s">
        <v>572</v>
      </c>
      <c r="C218" s="17" t="s">
        <v>450</v>
      </c>
      <c r="D218" s="17" t="s">
        <v>455</v>
      </c>
      <c r="E218" s="17" t="s">
        <v>574</v>
      </c>
      <c r="F218" s="19" t="s">
        <v>575</v>
      </c>
      <c r="G218" s="20">
        <v>5.0</v>
      </c>
      <c r="H218" s="21">
        <v>66.0</v>
      </c>
      <c r="I218" s="21">
        <v>39.0</v>
      </c>
      <c r="J218" s="22">
        <v>2857.0</v>
      </c>
      <c r="K218" s="50"/>
      <c r="L218" s="21" t="str">
        <f>IF(K218&gt;0,K218*I218,"")</f>
      </c>
      <c r="M218" s="52"/>
      <c r="N218" t="str">
        <f>IF(K218&gt;0,COUNTIF($K$7:K218,"&gt;0"),"")</f>
      </c>
      <c r="O218" t="s">
        <v>649</v>
      </c>
      <c r="P218" t="s">
        <v>648</v>
      </c>
    </row>
    <row r="219" spans="1:16" customHeight="1" ht="58">
      <c r="A219" s="16"/>
      <c r="B219" s="18" t="s">
        <v>572</v>
      </c>
      <c r="C219" s="17" t="s">
        <v>450</v>
      </c>
      <c r="D219" s="17" t="s">
        <v>461</v>
      </c>
      <c r="E219" s="17" t="s">
        <v>574</v>
      </c>
      <c r="F219" s="19" t="s">
        <v>575</v>
      </c>
      <c r="G219" s="20">
        <v>5.0</v>
      </c>
      <c r="H219" s="21">
        <v>66.0</v>
      </c>
      <c r="I219" s="21">
        <v>39.0</v>
      </c>
      <c r="J219" s="22">
        <v>2999.0</v>
      </c>
      <c r="K219" s="50"/>
      <c r="L219" s="21" t="str">
        <f>IF(K219&gt;0,K219*I219,"")</f>
      </c>
      <c r="M219" s="52"/>
      <c r="N219" t="str">
        <f>IF(K219&gt;0,COUNTIF($K$7:K219,"&gt;0"),"")</f>
      </c>
      <c r="O219" t="s">
        <v>651</v>
      </c>
      <c r="P219" t="s">
        <v>650</v>
      </c>
    </row>
    <row r="220" spans="1:16" customHeight="1" ht="58">
      <c r="A220" s="16"/>
      <c r="B220" s="18" t="s">
        <v>572</v>
      </c>
      <c r="C220" s="17" t="s">
        <v>450</v>
      </c>
      <c r="D220" s="17" t="s">
        <v>653</v>
      </c>
      <c r="E220" s="17" t="s">
        <v>574</v>
      </c>
      <c r="F220" s="19" t="s">
        <v>575</v>
      </c>
      <c r="G220" s="20">
        <v>5.0</v>
      </c>
      <c r="H220" s="21">
        <v>66.0</v>
      </c>
      <c r="I220" s="21">
        <v>39.0</v>
      </c>
      <c r="J220" s="22">
        <v>9415.0</v>
      </c>
      <c r="K220" s="50"/>
      <c r="L220" s="21" t="str">
        <f>IF(K220&gt;0,K220*I220,"")</f>
      </c>
      <c r="M220" s="52"/>
      <c r="N220" t="str">
        <f>IF(K220&gt;0,COUNTIF($K$7:K220,"&gt;0"),"")</f>
      </c>
      <c r="O220" t="s">
        <v>654</v>
      </c>
      <c r="P220" t="s">
        <v>652</v>
      </c>
    </row>
    <row r="221" spans="1:16" customHeight="1" ht="58">
      <c r="A221" s="16"/>
      <c r="B221" s="18" t="s">
        <v>572</v>
      </c>
      <c r="C221" s="17" t="s">
        <v>450</v>
      </c>
      <c r="D221" s="17" t="s">
        <v>656</v>
      </c>
      <c r="E221" s="17" t="s">
        <v>574</v>
      </c>
      <c r="F221" s="19" t="s">
        <v>575</v>
      </c>
      <c r="G221" s="20">
        <v>5.0</v>
      </c>
      <c r="H221" s="21">
        <v>66.0</v>
      </c>
      <c r="I221" s="21">
        <v>39.0</v>
      </c>
      <c r="J221" s="22">
        <v>4562.0</v>
      </c>
      <c r="K221" s="50"/>
      <c r="L221" s="21" t="str">
        <f>IF(K221&gt;0,K221*I221,"")</f>
      </c>
      <c r="M221" s="52"/>
      <c r="N221" t="str">
        <f>IF(K221&gt;0,COUNTIF($K$7:K221,"&gt;0"),"")</f>
      </c>
      <c r="O221" t="s">
        <v>657</v>
      </c>
      <c r="P221" t="s">
        <v>655</v>
      </c>
    </row>
    <row r="222" spans="1:16" customHeight="1" ht="58">
      <c r="A222" s="16"/>
      <c r="B222" s="18" t="s">
        <v>572</v>
      </c>
      <c r="C222" s="17" t="s">
        <v>450</v>
      </c>
      <c r="D222" s="17" t="s">
        <v>562</v>
      </c>
      <c r="E222" s="17" t="s">
        <v>574</v>
      </c>
      <c r="F222" s="19" t="s">
        <v>575</v>
      </c>
      <c r="G222" s="20">
        <v>5.0</v>
      </c>
      <c r="H222" s="21">
        <v>66.0</v>
      </c>
      <c r="I222" s="21">
        <v>39.0</v>
      </c>
      <c r="J222" s="22">
        <v>6002.0</v>
      </c>
      <c r="K222" s="50"/>
      <c r="L222" s="21" t="str">
        <f>IF(K222&gt;0,K222*I222,"")</f>
      </c>
      <c r="M222" s="52"/>
      <c r="N222" t="str">
        <f>IF(K222&gt;0,COUNTIF($K$7:K222,"&gt;0"),"")</f>
      </c>
      <c r="O222" t="s">
        <v>659</v>
      </c>
      <c r="P222" t="s">
        <v>658</v>
      </c>
    </row>
    <row r="223" spans="1:16" customHeight="1" ht="58">
      <c r="A223" s="16"/>
      <c r="B223" s="18" t="s">
        <v>572</v>
      </c>
      <c r="C223" s="17" t="s">
        <v>450</v>
      </c>
      <c r="D223" s="17" t="s">
        <v>661</v>
      </c>
      <c r="E223" s="17" t="s">
        <v>574</v>
      </c>
      <c r="F223" s="19" t="s">
        <v>575</v>
      </c>
      <c r="G223" s="20">
        <v>5.0</v>
      </c>
      <c r="H223" s="21">
        <v>66.0</v>
      </c>
      <c r="I223" s="21">
        <v>39.0</v>
      </c>
      <c r="J223" s="22">
        <v>34264.0</v>
      </c>
      <c r="K223" s="50"/>
      <c r="L223" s="21" t="str">
        <f>IF(K223&gt;0,K223*I223,"")</f>
      </c>
      <c r="M223" s="52"/>
      <c r="N223" t="str">
        <f>IF(K223&gt;0,COUNTIF($K$7:K223,"&gt;0"),"")</f>
      </c>
      <c r="O223" t="s">
        <v>662</v>
      </c>
      <c r="P223" t="s">
        <v>660</v>
      </c>
    </row>
    <row r="224" spans="1:16" customHeight="1" ht="58">
      <c r="A224" s="16"/>
      <c r="B224" s="18" t="s">
        <v>572</v>
      </c>
      <c r="C224" s="17" t="s">
        <v>450</v>
      </c>
      <c r="D224" s="17" t="s">
        <v>491</v>
      </c>
      <c r="E224" s="17" t="s">
        <v>574</v>
      </c>
      <c r="F224" s="19" t="s">
        <v>575</v>
      </c>
      <c r="G224" s="20">
        <v>5.0</v>
      </c>
      <c r="H224" s="21">
        <v>66.0</v>
      </c>
      <c r="I224" s="21">
        <v>39.0</v>
      </c>
      <c r="J224" s="22">
        <v>3901.0</v>
      </c>
      <c r="K224" s="50"/>
      <c r="L224" s="21" t="str">
        <f>IF(K224&gt;0,K224*I224,"")</f>
      </c>
      <c r="M224" s="52"/>
      <c r="N224" t="str">
        <f>IF(K224&gt;0,COUNTIF($K$7:K224,"&gt;0"),"")</f>
      </c>
      <c r="O224" t="s">
        <v>664</v>
      </c>
      <c r="P224" t="s">
        <v>663</v>
      </c>
    </row>
    <row r="225" spans="1:16" customHeight="1" ht="58">
      <c r="A225" s="16"/>
      <c r="B225" s="18" t="s">
        <v>572</v>
      </c>
      <c r="C225" s="17" t="s">
        <v>450</v>
      </c>
      <c r="D225" s="17" t="s">
        <v>666</v>
      </c>
      <c r="E225" s="17" t="s">
        <v>574</v>
      </c>
      <c r="F225" s="19" t="s">
        <v>575</v>
      </c>
      <c r="G225" s="20">
        <v>5.0</v>
      </c>
      <c r="H225" s="21">
        <v>66.0</v>
      </c>
      <c r="I225" s="21">
        <v>39.0</v>
      </c>
      <c r="J225" s="22">
        <v>5928.0</v>
      </c>
      <c r="K225" s="50"/>
      <c r="L225" s="21" t="str">
        <f>IF(K225&gt;0,K225*I225,"")</f>
      </c>
      <c r="M225" s="52"/>
      <c r="N225" t="str">
        <f>IF(K225&gt;0,COUNTIF($K$7:K225,"&gt;0"),"")</f>
      </c>
      <c r="O225" t="s">
        <v>667</v>
      </c>
      <c r="P225" t="s">
        <v>665</v>
      </c>
    </row>
    <row r="226" spans="1:16" customHeight="1" ht="58">
      <c r="A226" s="16"/>
      <c r="B226" s="18" t="s">
        <v>572</v>
      </c>
      <c r="C226" s="17" t="s">
        <v>450</v>
      </c>
      <c r="D226" s="17" t="s">
        <v>669</v>
      </c>
      <c r="E226" s="17" t="s">
        <v>574</v>
      </c>
      <c r="F226" s="19" t="s">
        <v>575</v>
      </c>
      <c r="G226" s="20">
        <v>5.0</v>
      </c>
      <c r="H226" s="21">
        <v>66.0</v>
      </c>
      <c r="I226" s="21">
        <v>39.0</v>
      </c>
      <c r="J226" s="22">
        <v>25492.0</v>
      </c>
      <c r="K226" s="50"/>
      <c r="L226" s="21" t="str">
        <f>IF(K226&gt;0,K226*I226,"")</f>
      </c>
      <c r="M226" s="52"/>
      <c r="N226" t="str">
        <f>IF(K226&gt;0,COUNTIF($K$7:K226,"&gt;0"),"")</f>
      </c>
      <c r="O226" t="s">
        <v>670</v>
      </c>
      <c r="P226" t="s">
        <v>668</v>
      </c>
    </row>
    <row r="227" spans="1:16" customHeight="1" ht="58">
      <c r="A227" s="16"/>
      <c r="B227" s="18" t="s">
        <v>572</v>
      </c>
      <c r="C227" s="17" t="s">
        <v>450</v>
      </c>
      <c r="D227" s="17" t="s">
        <v>473</v>
      </c>
      <c r="E227" s="17" t="s">
        <v>574</v>
      </c>
      <c r="F227" s="19" t="s">
        <v>575</v>
      </c>
      <c r="G227" s="20">
        <v>5.0</v>
      </c>
      <c r="H227" s="21">
        <v>66.0</v>
      </c>
      <c r="I227" s="21">
        <v>39.0</v>
      </c>
      <c r="J227" s="22">
        <v>13804.0</v>
      </c>
      <c r="K227" s="50"/>
      <c r="L227" s="21" t="str">
        <f>IF(K227&gt;0,K227*I227,"")</f>
      </c>
      <c r="M227" s="52"/>
      <c r="N227" t="str">
        <f>IF(K227&gt;0,COUNTIF($K$7:K227,"&gt;0"),"")</f>
      </c>
      <c r="O227" t="s">
        <v>672</v>
      </c>
      <c r="P227" t="s">
        <v>671</v>
      </c>
    </row>
    <row r="228" spans="1:16" customHeight="1" ht="58">
      <c r="A228" s="16"/>
      <c r="B228" s="18" t="s">
        <v>572</v>
      </c>
      <c r="C228" s="17" t="s">
        <v>450</v>
      </c>
      <c r="D228" s="17" t="s">
        <v>511</v>
      </c>
      <c r="E228" s="17" t="s">
        <v>574</v>
      </c>
      <c r="F228" s="19" t="s">
        <v>575</v>
      </c>
      <c r="G228" s="20">
        <v>5.0</v>
      </c>
      <c r="H228" s="21">
        <v>66.0</v>
      </c>
      <c r="I228" s="21">
        <v>39.0</v>
      </c>
      <c r="J228" s="22">
        <v>4423.0</v>
      </c>
      <c r="K228" s="50"/>
      <c r="L228" s="21" t="str">
        <f>IF(K228&gt;0,K228*I228,"")</f>
      </c>
      <c r="M228" s="52"/>
      <c r="N228" t="str">
        <f>IF(K228&gt;0,COUNTIF($K$7:K228,"&gt;0"),"")</f>
      </c>
      <c r="O228" t="s">
        <v>674</v>
      </c>
      <c r="P228" t="s">
        <v>673</v>
      </c>
    </row>
    <row r="229" spans="1:16" customHeight="1" ht="58">
      <c r="A229" s="16"/>
      <c r="B229" s="18" t="s">
        <v>572</v>
      </c>
      <c r="C229" s="17" t="s">
        <v>450</v>
      </c>
      <c r="D229" s="17" t="s">
        <v>676</v>
      </c>
      <c r="E229" s="17" t="s">
        <v>574</v>
      </c>
      <c r="F229" s="19" t="s">
        <v>575</v>
      </c>
      <c r="G229" s="20">
        <v>5.0</v>
      </c>
      <c r="H229" s="21">
        <v>66.0</v>
      </c>
      <c r="I229" s="21">
        <v>39.0</v>
      </c>
      <c r="J229" s="22">
        <v>9000.0</v>
      </c>
      <c r="K229" s="50"/>
      <c r="L229" s="21" t="str">
        <f>IF(K229&gt;0,K229*I229,"")</f>
      </c>
      <c r="M229" s="52"/>
      <c r="N229" t="str">
        <f>IF(K229&gt;0,COUNTIF($K$7:K229,"&gt;0"),"")</f>
      </c>
      <c r="O229" t="s">
        <v>677</v>
      </c>
      <c r="P229" t="s">
        <v>675</v>
      </c>
    </row>
    <row r="230" spans="1:16" customHeight="1" ht="58">
      <c r="A230" s="16"/>
      <c r="B230" s="18" t="s">
        <v>572</v>
      </c>
      <c r="C230" s="17" t="s">
        <v>450</v>
      </c>
      <c r="D230" s="17" t="s">
        <v>470</v>
      </c>
      <c r="E230" s="17" t="s">
        <v>574</v>
      </c>
      <c r="F230" s="19" t="s">
        <v>575</v>
      </c>
      <c r="G230" s="20">
        <v>5.0</v>
      </c>
      <c r="H230" s="21">
        <v>66.0</v>
      </c>
      <c r="I230" s="21">
        <v>39.0</v>
      </c>
      <c r="J230" s="22">
        <v>5566.0</v>
      </c>
      <c r="K230" s="50"/>
      <c r="L230" s="21" t="str">
        <f>IF(K230&gt;0,K230*I230,"")</f>
      </c>
      <c r="M230" s="52"/>
      <c r="N230" t="str">
        <f>IF(K230&gt;0,COUNTIF($K$7:K230,"&gt;0"),"")</f>
      </c>
      <c r="O230" t="s">
        <v>679</v>
      </c>
      <c r="P230" t="s">
        <v>678</v>
      </c>
    </row>
    <row r="231" spans="1:16" customHeight="1" ht="58">
      <c r="A231" s="16"/>
      <c r="B231" s="18" t="s">
        <v>572</v>
      </c>
      <c r="C231" s="17" t="s">
        <v>450</v>
      </c>
      <c r="D231" s="17" t="s">
        <v>681</v>
      </c>
      <c r="E231" s="17" t="s">
        <v>574</v>
      </c>
      <c r="F231" s="19" t="s">
        <v>575</v>
      </c>
      <c r="G231" s="20">
        <v>5.0</v>
      </c>
      <c r="H231" s="21">
        <v>66.0</v>
      </c>
      <c r="I231" s="21">
        <v>39.0</v>
      </c>
      <c r="J231" s="22">
        <v>2760.0</v>
      </c>
      <c r="K231" s="50"/>
      <c r="L231" s="21" t="str">
        <f>IF(K231&gt;0,K231*I231,"")</f>
      </c>
      <c r="M231" s="52"/>
      <c r="N231" t="str">
        <f>IF(K231&gt;0,COUNTIF($K$7:K231,"&gt;0"),"")</f>
      </c>
      <c r="O231" t="s">
        <v>682</v>
      </c>
      <c r="P231" t="s">
        <v>680</v>
      </c>
    </row>
    <row r="232" spans="1:16" customHeight="1" ht="58">
      <c r="A232" s="16"/>
      <c r="B232" s="18" t="s">
        <v>572</v>
      </c>
      <c r="C232" s="17" t="s">
        <v>450</v>
      </c>
      <c r="D232" s="17" t="s">
        <v>464</v>
      </c>
      <c r="E232" s="17" t="s">
        <v>574</v>
      </c>
      <c r="F232" s="19" t="s">
        <v>575</v>
      </c>
      <c r="G232" s="20">
        <v>5.0</v>
      </c>
      <c r="H232" s="21">
        <v>66.0</v>
      </c>
      <c r="I232" s="21">
        <v>39.0</v>
      </c>
      <c r="J232" s="22">
        <v>3443.0</v>
      </c>
      <c r="K232" s="50"/>
      <c r="L232" s="21" t="str">
        <f>IF(K232&gt;0,K232*I232,"")</f>
      </c>
      <c r="M232" s="52"/>
      <c r="N232" t="str">
        <f>IF(K232&gt;0,COUNTIF($K$7:K232,"&gt;0"),"")</f>
      </c>
      <c r="O232" t="s">
        <v>684</v>
      </c>
      <c r="P232" t="s">
        <v>683</v>
      </c>
    </row>
    <row r="233" spans="1:16" customHeight="1" ht="58">
      <c r="A233" s="16"/>
      <c r="B233" s="18" t="s">
        <v>572</v>
      </c>
      <c r="C233" s="17" t="s">
        <v>450</v>
      </c>
      <c r="D233" s="17" t="s">
        <v>686</v>
      </c>
      <c r="E233" s="17" t="s">
        <v>574</v>
      </c>
      <c r="F233" s="19" t="s">
        <v>575</v>
      </c>
      <c r="G233" s="20">
        <v>5.0</v>
      </c>
      <c r="H233" s="21">
        <v>66.0</v>
      </c>
      <c r="I233" s="21">
        <v>39.0</v>
      </c>
      <c r="J233" s="22">
        <v>3000.0</v>
      </c>
      <c r="K233" s="50"/>
      <c r="L233" s="21" t="str">
        <f>IF(K233&gt;0,K233*I233,"")</f>
      </c>
      <c r="M233" s="52"/>
      <c r="N233" t="str">
        <f>IF(K233&gt;0,COUNTIF($K$7:K233,"&gt;0"),"")</f>
      </c>
      <c r="O233" t="s">
        <v>687</v>
      </c>
      <c r="P233" t="s">
        <v>685</v>
      </c>
    </row>
    <row r="234" spans="1:16" customHeight="1" ht="58">
      <c r="A234" s="16"/>
      <c r="B234" s="18" t="s">
        <v>572</v>
      </c>
      <c r="C234" s="17" t="s">
        <v>450</v>
      </c>
      <c r="D234" s="17" t="s">
        <v>689</v>
      </c>
      <c r="E234" s="17" t="s">
        <v>574</v>
      </c>
      <c r="F234" s="19" t="s">
        <v>575</v>
      </c>
      <c r="G234" s="20">
        <v>5.0</v>
      </c>
      <c r="H234" s="21">
        <v>66.0</v>
      </c>
      <c r="I234" s="21">
        <v>39.0</v>
      </c>
      <c r="J234" s="22">
        <v>4293.0</v>
      </c>
      <c r="K234" s="50"/>
      <c r="L234" s="21" t="str">
        <f>IF(K234&gt;0,K234*I234,"")</f>
      </c>
      <c r="M234" s="52"/>
      <c r="N234" t="str">
        <f>IF(K234&gt;0,COUNTIF($K$7:K234,"&gt;0"),"")</f>
      </c>
      <c r="O234" t="s">
        <v>690</v>
      </c>
      <c r="P234" t="s">
        <v>688</v>
      </c>
    </row>
    <row r="235" spans="1:16" customHeight="1" ht="58">
      <c r="A235" s="16"/>
      <c r="B235" s="18" t="s">
        <v>572</v>
      </c>
      <c r="C235" s="17" t="s">
        <v>450</v>
      </c>
      <c r="D235" s="17" t="s">
        <v>692</v>
      </c>
      <c r="E235" s="17" t="s">
        <v>574</v>
      </c>
      <c r="F235" s="19" t="s">
        <v>575</v>
      </c>
      <c r="G235" s="20">
        <v>5.0</v>
      </c>
      <c r="H235" s="21">
        <v>66.0</v>
      </c>
      <c r="I235" s="21">
        <v>39.0</v>
      </c>
      <c r="J235" s="22">
        <v>6000.0</v>
      </c>
      <c r="K235" s="50"/>
      <c r="L235" s="21" t="str">
        <f>IF(K235&gt;0,K235*I235,"")</f>
      </c>
      <c r="M235" s="52"/>
      <c r="N235" t="str">
        <f>IF(K235&gt;0,COUNTIF($K$7:K235,"&gt;0"),"")</f>
      </c>
      <c r="O235" t="s">
        <v>693</v>
      </c>
      <c r="P235" t="s">
        <v>691</v>
      </c>
    </row>
    <row r="236" spans="1:16" customHeight="1" ht="58">
      <c r="A236" s="16"/>
      <c r="B236" s="18" t="s">
        <v>572</v>
      </c>
      <c r="C236" s="17" t="s">
        <v>450</v>
      </c>
      <c r="D236" s="17" t="s">
        <v>695</v>
      </c>
      <c r="E236" s="17" t="s">
        <v>574</v>
      </c>
      <c r="F236" s="19" t="s">
        <v>575</v>
      </c>
      <c r="G236" s="20">
        <v>5.0</v>
      </c>
      <c r="H236" s="21">
        <v>66.0</v>
      </c>
      <c r="I236" s="21">
        <v>39.0</v>
      </c>
      <c r="J236" s="22">
        <v>16882.0</v>
      </c>
      <c r="K236" s="50"/>
      <c r="L236" s="21" t="str">
        <f>IF(K236&gt;0,K236*I236,"")</f>
      </c>
      <c r="M236" s="52"/>
      <c r="N236" t="str">
        <f>IF(K236&gt;0,COUNTIF($K$7:K236,"&gt;0"),"")</f>
      </c>
      <c r="O236" t="s">
        <v>696</v>
      </c>
      <c r="P236" t="s">
        <v>694</v>
      </c>
    </row>
    <row r="237" spans="1:16" customHeight="1" ht="58">
      <c r="A237" s="16"/>
      <c r="B237" s="18" t="s">
        <v>698</v>
      </c>
      <c r="C237" s="17" t="s">
        <v>450</v>
      </c>
      <c r="D237" s="17" t="s">
        <v>508</v>
      </c>
      <c r="E237" s="17" t="s">
        <v>699</v>
      </c>
      <c r="F237" s="19" t="s">
        <v>575</v>
      </c>
      <c r="G237" s="20">
        <v>5.0</v>
      </c>
      <c r="H237" s="21">
        <v>99.0</v>
      </c>
      <c r="I237" s="21">
        <v>58.0</v>
      </c>
      <c r="J237" s="22">
        <v>2561.0</v>
      </c>
      <c r="K237" s="50"/>
      <c r="L237" s="21" t="str">
        <f>IF(K237&gt;0,K237*I237,"")</f>
      </c>
      <c r="M237" s="52"/>
      <c r="N237" t="str">
        <f>IF(K237&gt;0,COUNTIF($K$7:K237,"&gt;0"),"")</f>
      </c>
      <c r="O237" t="s">
        <v>700</v>
      </c>
      <c r="P237" t="s">
        <v>697</v>
      </c>
    </row>
    <row r="238" spans="1:16" customHeight="1" ht="58">
      <c r="A238" s="16"/>
      <c r="B238" s="18" t="s">
        <v>698</v>
      </c>
      <c r="C238" s="17" t="s">
        <v>450</v>
      </c>
      <c r="D238" s="17" t="s">
        <v>476</v>
      </c>
      <c r="E238" s="17" t="s">
        <v>699</v>
      </c>
      <c r="F238" s="19" t="s">
        <v>575</v>
      </c>
      <c r="G238" s="20">
        <v>5.0</v>
      </c>
      <c r="H238" s="21">
        <v>99.0</v>
      </c>
      <c r="I238" s="21">
        <v>58.0</v>
      </c>
      <c r="J238" s="22">
        <v>1225.0</v>
      </c>
      <c r="K238" s="50"/>
      <c r="L238" s="21" t="str">
        <f>IF(K238&gt;0,K238*I238,"")</f>
      </c>
      <c r="M238" s="52"/>
      <c r="N238" t="str">
        <f>IF(K238&gt;0,COUNTIF($K$7:K238,"&gt;0"),"")</f>
      </c>
      <c r="O238" t="s">
        <v>702</v>
      </c>
      <c r="P238" t="s">
        <v>701</v>
      </c>
    </row>
    <row r="239" spans="1:16" customHeight="1" ht="58">
      <c r="A239" s="16"/>
      <c r="B239" s="18" t="s">
        <v>698</v>
      </c>
      <c r="C239" s="17" t="s">
        <v>450</v>
      </c>
      <c r="D239" s="17" t="s">
        <v>461</v>
      </c>
      <c r="E239" s="17" t="s">
        <v>699</v>
      </c>
      <c r="F239" s="19" t="s">
        <v>575</v>
      </c>
      <c r="G239" s="20">
        <v>5.0</v>
      </c>
      <c r="H239" s="21">
        <v>99.0</v>
      </c>
      <c r="I239" s="21">
        <v>58.0</v>
      </c>
      <c r="J239" s="22">
        <v>1854.0</v>
      </c>
      <c r="K239" s="50"/>
      <c r="L239" s="21" t="str">
        <f>IF(K239&gt;0,K239*I239,"")</f>
      </c>
      <c r="M239" s="52"/>
      <c r="N239" t="str">
        <f>IF(K239&gt;0,COUNTIF($K$7:K239,"&gt;0"),"")</f>
      </c>
      <c r="O239" t="s">
        <v>704</v>
      </c>
      <c r="P239" t="s">
        <v>703</v>
      </c>
    </row>
    <row r="240" spans="1:16" customHeight="1" ht="58">
      <c r="A240" s="16"/>
      <c r="B240" s="18" t="s">
        <v>698</v>
      </c>
      <c r="C240" s="17" t="s">
        <v>450</v>
      </c>
      <c r="D240" s="17" t="s">
        <v>485</v>
      </c>
      <c r="E240" s="17" t="s">
        <v>699</v>
      </c>
      <c r="F240" s="19" t="s">
        <v>575</v>
      </c>
      <c r="G240" s="20">
        <v>5.0</v>
      </c>
      <c r="H240" s="21">
        <v>99.0</v>
      </c>
      <c r="I240" s="21">
        <v>58.0</v>
      </c>
      <c r="J240" s="22">
        <v>5943.0</v>
      </c>
      <c r="K240" s="50"/>
      <c r="L240" s="21" t="str">
        <f>IF(K240&gt;0,K240*I240,"")</f>
      </c>
      <c r="M240" s="52"/>
      <c r="N240" t="str">
        <f>IF(K240&gt;0,COUNTIF($K$7:K240,"&gt;0"),"")</f>
      </c>
      <c r="O240" t="s">
        <v>706</v>
      </c>
      <c r="P240" t="s">
        <v>705</v>
      </c>
    </row>
    <row r="241" spans="1:16" customHeight="1" ht="58">
      <c r="A241" s="16"/>
      <c r="B241" s="18" t="s">
        <v>698</v>
      </c>
      <c r="C241" s="17" t="s">
        <v>450</v>
      </c>
      <c r="D241" s="17" t="s">
        <v>458</v>
      </c>
      <c r="E241" s="17" t="s">
        <v>699</v>
      </c>
      <c r="F241" s="19" t="s">
        <v>575</v>
      </c>
      <c r="G241" s="20">
        <v>5.0</v>
      </c>
      <c r="H241" s="21">
        <v>99.0</v>
      </c>
      <c r="I241" s="21">
        <v>58.0</v>
      </c>
      <c r="J241" s="22">
        <v>6000.0</v>
      </c>
      <c r="K241" s="50"/>
      <c r="L241" s="21" t="str">
        <f>IF(K241&gt;0,K241*I241,"")</f>
      </c>
      <c r="M241" s="52"/>
      <c r="N241" t="str">
        <f>IF(K241&gt;0,COUNTIF($K$7:K241,"&gt;0"),"")</f>
      </c>
      <c r="O241" t="s">
        <v>708</v>
      </c>
      <c r="P241" t="s">
        <v>707</v>
      </c>
    </row>
    <row r="242" spans="1:16" customHeight="1" ht="58">
      <c r="A242" s="16"/>
      <c r="B242" s="18" t="s">
        <v>698</v>
      </c>
      <c r="C242" s="17" t="s">
        <v>450</v>
      </c>
      <c r="D242" s="17" t="s">
        <v>520</v>
      </c>
      <c r="E242" s="17" t="s">
        <v>699</v>
      </c>
      <c r="F242" s="19" t="s">
        <v>575</v>
      </c>
      <c r="G242" s="20">
        <v>5.0</v>
      </c>
      <c r="H242" s="21">
        <v>99.0</v>
      </c>
      <c r="I242" s="21">
        <v>58.0</v>
      </c>
      <c r="J242" s="22">
        <v>747.0</v>
      </c>
      <c r="K242" s="50"/>
      <c r="L242" s="21" t="str">
        <f>IF(K242&gt;0,K242*I242,"")</f>
      </c>
      <c r="M242" s="52"/>
      <c r="N242" t="str">
        <f>IF(K242&gt;0,COUNTIF($K$7:K242,"&gt;0"),"")</f>
      </c>
      <c r="O242" t="s">
        <v>710</v>
      </c>
      <c r="P242" t="s">
        <v>709</v>
      </c>
    </row>
    <row r="243" spans="1:16" customHeight="1" ht="58">
      <c r="A243" s="16"/>
      <c r="B243" s="18" t="s">
        <v>698</v>
      </c>
      <c r="C243" s="17" t="s">
        <v>450</v>
      </c>
      <c r="D243" s="17" t="s">
        <v>491</v>
      </c>
      <c r="E243" s="17" t="s">
        <v>699</v>
      </c>
      <c r="F243" s="19" t="s">
        <v>575</v>
      </c>
      <c r="G243" s="20">
        <v>5.0</v>
      </c>
      <c r="H243" s="21">
        <v>99.0</v>
      </c>
      <c r="I243" s="21">
        <v>58.0</v>
      </c>
      <c r="J243" s="22">
        <v>1000.0</v>
      </c>
      <c r="K243" s="50"/>
      <c r="L243" s="21" t="str">
        <f>IF(K243&gt;0,K243*I243,"")</f>
      </c>
      <c r="M243" s="52"/>
      <c r="N243" t="str">
        <f>IF(K243&gt;0,COUNTIF($K$7:K243,"&gt;0"),"")</f>
      </c>
      <c r="O243" t="s">
        <v>712</v>
      </c>
      <c r="P243" t="s">
        <v>711</v>
      </c>
    </row>
    <row r="244" spans="1:16" customHeight="1" ht="58">
      <c r="A244" s="16"/>
      <c r="B244" s="18" t="s">
        <v>698</v>
      </c>
      <c r="C244" s="17" t="s">
        <v>450</v>
      </c>
      <c r="D244" s="17" t="s">
        <v>455</v>
      </c>
      <c r="E244" s="17" t="s">
        <v>699</v>
      </c>
      <c r="F244" s="19" t="s">
        <v>575</v>
      </c>
      <c r="G244" s="20">
        <v>5.0</v>
      </c>
      <c r="H244" s="21">
        <v>99.0</v>
      </c>
      <c r="I244" s="21">
        <v>58.0</v>
      </c>
      <c r="J244" s="22">
        <v>2633.0</v>
      </c>
      <c r="K244" s="50"/>
      <c r="L244" s="21" t="str">
        <f>IF(K244&gt;0,K244*I244,"")</f>
      </c>
      <c r="M244" s="52"/>
      <c r="N244" t="str">
        <f>IF(K244&gt;0,COUNTIF($K$7:K244,"&gt;0"),"")</f>
      </c>
      <c r="O244" t="s">
        <v>714</v>
      </c>
      <c r="P244" t="s">
        <v>713</v>
      </c>
    </row>
    <row r="245" spans="1:16" customHeight="1" ht="58">
      <c r="A245" s="16"/>
      <c r="B245" s="18" t="s">
        <v>698</v>
      </c>
      <c r="C245" s="17" t="s">
        <v>450</v>
      </c>
      <c r="D245" s="17" t="s">
        <v>451</v>
      </c>
      <c r="E245" s="17" t="s">
        <v>699</v>
      </c>
      <c r="F245" s="19" t="s">
        <v>575</v>
      </c>
      <c r="G245" s="20">
        <v>5.0</v>
      </c>
      <c r="H245" s="21">
        <v>99.0</v>
      </c>
      <c r="I245" s="21">
        <v>58.0</v>
      </c>
      <c r="J245" s="22">
        <v>3023.0</v>
      </c>
      <c r="K245" s="50"/>
      <c r="L245" s="21" t="str">
        <f>IF(K245&gt;0,K245*I245,"")</f>
      </c>
      <c r="M245" s="52"/>
      <c r="N245" t="str">
        <f>IF(K245&gt;0,COUNTIF($K$7:K245,"&gt;0"),"")</f>
      </c>
      <c r="O245" t="s">
        <v>716</v>
      </c>
      <c r="P245" t="s">
        <v>715</v>
      </c>
    </row>
    <row r="246" spans="1:16" customHeight="1" ht="58">
      <c r="A246" s="16"/>
      <c r="B246" s="18" t="s">
        <v>698</v>
      </c>
      <c r="C246" s="17" t="s">
        <v>450</v>
      </c>
      <c r="D246" s="17" t="s">
        <v>505</v>
      </c>
      <c r="E246" s="17" t="s">
        <v>699</v>
      </c>
      <c r="F246" s="19" t="s">
        <v>575</v>
      </c>
      <c r="G246" s="20">
        <v>5.0</v>
      </c>
      <c r="H246" s="21">
        <v>99.0</v>
      </c>
      <c r="I246" s="21">
        <v>58.0</v>
      </c>
      <c r="J246" s="22">
        <v>1910.0</v>
      </c>
      <c r="K246" s="50"/>
      <c r="L246" s="21" t="str">
        <f>IF(K246&gt;0,K246*I246,"")</f>
      </c>
      <c r="M246" s="52"/>
      <c r="N246" t="str">
        <f>IF(K246&gt;0,COUNTIF($K$7:K246,"&gt;0"),"")</f>
      </c>
      <c r="O246" t="s">
        <v>718</v>
      </c>
      <c r="P246" t="s">
        <v>717</v>
      </c>
    </row>
    <row r="247" spans="1:16" customHeight="1" ht="58">
      <c r="A247" s="16"/>
      <c r="B247" s="18" t="s">
        <v>698</v>
      </c>
      <c r="C247" s="17" t="s">
        <v>450</v>
      </c>
      <c r="D247" s="17" t="s">
        <v>530</v>
      </c>
      <c r="E247" s="17" t="s">
        <v>699</v>
      </c>
      <c r="F247" s="19" t="s">
        <v>575</v>
      </c>
      <c r="G247" s="20">
        <v>5.0</v>
      </c>
      <c r="H247" s="21">
        <v>99.0</v>
      </c>
      <c r="I247" s="21">
        <v>58.0</v>
      </c>
      <c r="J247" s="22">
        <v>2863.0</v>
      </c>
      <c r="K247" s="50"/>
      <c r="L247" s="21" t="str">
        <f>IF(K247&gt;0,K247*I247,"")</f>
      </c>
      <c r="M247" s="52"/>
      <c r="N247" t="str">
        <f>IF(K247&gt;0,COUNTIF($K$7:K247,"&gt;0"),"")</f>
      </c>
      <c r="O247" t="s">
        <v>720</v>
      </c>
      <c r="P247" t="s">
        <v>719</v>
      </c>
    </row>
    <row r="248" spans="1:16" customHeight="1" ht="58">
      <c r="A248" s="16"/>
      <c r="B248" s="18" t="s">
        <v>698</v>
      </c>
      <c r="C248" s="17" t="s">
        <v>450</v>
      </c>
      <c r="D248" s="17" t="s">
        <v>559</v>
      </c>
      <c r="E248" s="17" t="s">
        <v>699</v>
      </c>
      <c r="F248" s="19" t="s">
        <v>575</v>
      </c>
      <c r="G248" s="20">
        <v>5.0</v>
      </c>
      <c r="H248" s="21">
        <v>99.0</v>
      </c>
      <c r="I248" s="21">
        <v>58.0</v>
      </c>
      <c r="J248" s="22">
        <v>1659.0</v>
      </c>
      <c r="K248" s="50"/>
      <c r="L248" s="21" t="str">
        <f>IF(K248&gt;0,K248*I248,"")</f>
      </c>
      <c r="M248" s="52"/>
      <c r="N248" t="str">
        <f>IF(K248&gt;0,COUNTIF($K$7:K248,"&gt;0"),"")</f>
      </c>
      <c r="O248" t="s">
        <v>722</v>
      </c>
      <c r="P248" t="s">
        <v>721</v>
      </c>
    </row>
    <row r="249" spans="1:16" customHeight="1" ht="58">
      <c r="A249" s="16"/>
      <c r="B249" s="18" t="s">
        <v>698</v>
      </c>
      <c r="C249" s="17" t="s">
        <v>450</v>
      </c>
      <c r="D249" s="17" t="s">
        <v>540</v>
      </c>
      <c r="E249" s="17" t="s">
        <v>699</v>
      </c>
      <c r="F249" s="19" t="s">
        <v>575</v>
      </c>
      <c r="G249" s="20">
        <v>5.0</v>
      </c>
      <c r="H249" s="21">
        <v>99.0</v>
      </c>
      <c r="I249" s="21">
        <v>58.0</v>
      </c>
      <c r="J249" s="22">
        <v>1013.0</v>
      </c>
      <c r="K249" s="50"/>
      <c r="L249" s="21" t="str">
        <f>IF(K249&gt;0,K249*I249,"")</f>
      </c>
      <c r="M249" s="52"/>
      <c r="N249" t="str">
        <f>IF(K249&gt;0,COUNTIF($K$7:K249,"&gt;0"),"")</f>
      </c>
      <c r="O249" t="s">
        <v>724</v>
      </c>
      <c r="P249" t="s">
        <v>723</v>
      </c>
    </row>
    <row r="250" spans="1:16" customHeight="1" ht="58">
      <c r="A250" s="16"/>
      <c r="B250" s="18" t="s">
        <v>698</v>
      </c>
      <c r="C250" s="17" t="s">
        <v>450</v>
      </c>
      <c r="D250" s="17" t="s">
        <v>473</v>
      </c>
      <c r="E250" s="17" t="s">
        <v>699</v>
      </c>
      <c r="F250" s="19" t="s">
        <v>575</v>
      </c>
      <c r="G250" s="20">
        <v>5.0</v>
      </c>
      <c r="H250" s="21">
        <v>99.0</v>
      </c>
      <c r="I250" s="21">
        <v>58.0</v>
      </c>
      <c r="J250" s="22">
        <v>1926.0</v>
      </c>
      <c r="K250" s="50"/>
      <c r="L250" s="21" t="str">
        <f>IF(K250&gt;0,K250*I250,"")</f>
      </c>
      <c r="M250" s="52"/>
      <c r="N250" t="str">
        <f>IF(K250&gt;0,COUNTIF($K$7:K250,"&gt;0"),"")</f>
      </c>
      <c r="O250" t="s">
        <v>726</v>
      </c>
      <c r="P250" t="s">
        <v>725</v>
      </c>
    </row>
    <row r="251" spans="1:16" customHeight="1" ht="58">
      <c r="A251" s="16"/>
      <c r="B251" s="18" t="s">
        <v>698</v>
      </c>
      <c r="C251" s="17" t="s">
        <v>450</v>
      </c>
      <c r="D251" s="17" t="s">
        <v>488</v>
      </c>
      <c r="E251" s="17" t="s">
        <v>699</v>
      </c>
      <c r="F251" s="19" t="s">
        <v>575</v>
      </c>
      <c r="G251" s="20">
        <v>5.0</v>
      </c>
      <c r="H251" s="21">
        <v>99.0</v>
      </c>
      <c r="I251" s="21">
        <v>58.0</v>
      </c>
      <c r="J251" s="22">
        <v>668.0</v>
      </c>
      <c r="K251" s="50"/>
      <c r="L251" s="21" t="str">
        <f>IF(K251&gt;0,K251*I251,"")</f>
      </c>
      <c r="M251" s="52"/>
      <c r="N251" t="str">
        <f>IF(K251&gt;0,COUNTIF($K$7:K251,"&gt;0"),"")</f>
      </c>
      <c r="O251" t="s">
        <v>728</v>
      </c>
      <c r="P251" t="s">
        <v>727</v>
      </c>
    </row>
    <row r="252" spans="1:16" customHeight="1" ht="58">
      <c r="A252" s="16"/>
      <c r="B252" s="18" t="s">
        <v>698</v>
      </c>
      <c r="C252" s="17" t="s">
        <v>450</v>
      </c>
      <c r="D252" s="17" t="s">
        <v>494</v>
      </c>
      <c r="E252" s="17" t="s">
        <v>699</v>
      </c>
      <c r="F252" s="19" t="s">
        <v>575</v>
      </c>
      <c r="G252" s="20">
        <v>5.0</v>
      </c>
      <c r="H252" s="21">
        <v>99.0</v>
      </c>
      <c r="I252" s="21">
        <v>58.0</v>
      </c>
      <c r="J252" s="22">
        <v>2152.0</v>
      </c>
      <c r="K252" s="50"/>
      <c r="L252" s="21" t="str">
        <f>IF(K252&gt;0,K252*I252,"")</f>
      </c>
      <c r="M252" s="52"/>
      <c r="N252" t="str">
        <f>IF(K252&gt;0,COUNTIF($K$7:K252,"&gt;0"),"")</f>
      </c>
      <c r="O252" t="s">
        <v>730</v>
      </c>
      <c r="P252" t="s">
        <v>729</v>
      </c>
    </row>
    <row r="253" spans="1:16" customHeight="1" ht="58">
      <c r="A253" s="16"/>
      <c r="B253" s="18" t="s">
        <v>698</v>
      </c>
      <c r="C253" s="17" t="s">
        <v>450</v>
      </c>
      <c r="D253" s="17" t="s">
        <v>464</v>
      </c>
      <c r="E253" s="17" t="s">
        <v>699</v>
      </c>
      <c r="F253" s="19" t="s">
        <v>575</v>
      </c>
      <c r="G253" s="20">
        <v>5.0</v>
      </c>
      <c r="H253" s="21">
        <v>99.0</v>
      </c>
      <c r="I253" s="21">
        <v>58.0</v>
      </c>
      <c r="J253" s="22">
        <v>1117.0</v>
      </c>
      <c r="K253" s="50"/>
      <c r="L253" s="21" t="str">
        <f>IF(K253&gt;0,K253*I253,"")</f>
      </c>
      <c r="M253" s="52"/>
      <c r="N253" t="str">
        <f>IF(K253&gt;0,COUNTIF($K$7:K253,"&gt;0"),"")</f>
      </c>
      <c r="O253" t="s">
        <v>732</v>
      </c>
      <c r="P253" t="s">
        <v>731</v>
      </c>
    </row>
    <row r="254" spans="1:16" customHeight="1" ht="58">
      <c r="A254" s="16"/>
      <c r="B254" s="18" t="s">
        <v>698</v>
      </c>
      <c r="C254" s="17" t="s">
        <v>450</v>
      </c>
      <c r="D254" s="17" t="s">
        <v>523</v>
      </c>
      <c r="E254" s="17" t="s">
        <v>699</v>
      </c>
      <c r="F254" s="19" t="s">
        <v>575</v>
      </c>
      <c r="G254" s="20">
        <v>5.0</v>
      </c>
      <c r="H254" s="21">
        <v>99.0</v>
      </c>
      <c r="I254" s="21">
        <v>58.0</v>
      </c>
      <c r="J254" s="22">
        <v>883.0</v>
      </c>
      <c r="K254" s="50"/>
      <c r="L254" s="21" t="str">
        <f>IF(K254&gt;0,K254*I254,"")</f>
      </c>
      <c r="M254" s="52"/>
      <c r="N254" t="str">
        <f>IF(K254&gt;0,COUNTIF($K$7:K254,"&gt;0"),"")</f>
      </c>
      <c r="O254" t="s">
        <v>734</v>
      </c>
      <c r="P254" t="s">
        <v>733</v>
      </c>
    </row>
    <row r="255" spans="1:16" customHeight="1" ht="58">
      <c r="A255" s="16"/>
      <c r="B255" s="18" t="s">
        <v>698</v>
      </c>
      <c r="C255" s="17" t="s">
        <v>450</v>
      </c>
      <c r="D255" s="17" t="s">
        <v>517</v>
      </c>
      <c r="E255" s="17" t="s">
        <v>699</v>
      </c>
      <c r="F255" s="19" t="s">
        <v>575</v>
      </c>
      <c r="G255" s="20">
        <v>5.0</v>
      </c>
      <c r="H255" s="21">
        <v>99.0</v>
      </c>
      <c r="I255" s="21">
        <v>58.0</v>
      </c>
      <c r="J255" s="22">
        <v>2998.0</v>
      </c>
      <c r="K255" s="50"/>
      <c r="L255" s="21" t="str">
        <f>IF(K255&gt;0,K255*I255,"")</f>
      </c>
      <c r="M255" s="52"/>
      <c r="N255" t="str">
        <f>IF(K255&gt;0,COUNTIF($K$7:K255,"&gt;0"),"")</f>
      </c>
      <c r="O255" t="s">
        <v>736</v>
      </c>
      <c r="P255" t="s">
        <v>735</v>
      </c>
    </row>
    <row r="256" spans="1:16" customHeight="1" ht="58">
      <c r="A256" s="16"/>
      <c r="B256" s="18" t="s">
        <v>698</v>
      </c>
      <c r="C256" s="17" t="s">
        <v>450</v>
      </c>
      <c r="D256" s="17" t="s">
        <v>499</v>
      </c>
      <c r="E256" s="17" t="s">
        <v>699</v>
      </c>
      <c r="F256" s="19" t="s">
        <v>575</v>
      </c>
      <c r="G256" s="20">
        <v>5.0</v>
      </c>
      <c r="H256" s="21">
        <v>99.0</v>
      </c>
      <c r="I256" s="21">
        <v>58.0</v>
      </c>
      <c r="J256" s="22">
        <v>1433.0</v>
      </c>
      <c r="K256" s="50"/>
      <c r="L256" s="21" t="str">
        <f>IF(K256&gt;0,K256*I256,"")</f>
      </c>
      <c r="M256" s="52"/>
      <c r="N256" t="str">
        <f>IF(K256&gt;0,COUNTIF($K$7:K256,"&gt;0"),"")</f>
      </c>
      <c r="O256" t="s">
        <v>738</v>
      </c>
      <c r="P256" t="s">
        <v>737</v>
      </c>
    </row>
    <row r="257" spans="1:16" customHeight="1" ht="58">
      <c r="A257" s="16"/>
      <c r="B257" s="18" t="s">
        <v>698</v>
      </c>
      <c r="C257" s="17" t="s">
        <v>450</v>
      </c>
      <c r="D257" s="17" t="s">
        <v>479</v>
      </c>
      <c r="E257" s="17" t="s">
        <v>699</v>
      </c>
      <c r="F257" s="19" t="s">
        <v>575</v>
      </c>
      <c r="G257" s="20">
        <v>5.0</v>
      </c>
      <c r="H257" s="21">
        <v>99.0</v>
      </c>
      <c r="I257" s="21">
        <v>58.0</v>
      </c>
      <c r="J257" s="22">
        <v>2198.0</v>
      </c>
      <c r="K257" s="50"/>
      <c r="L257" s="21" t="str">
        <f>IF(K257&gt;0,K257*I257,"")</f>
      </c>
      <c r="M257" s="52"/>
      <c r="N257" t="str">
        <f>IF(K257&gt;0,COUNTIF($K$7:K257,"&gt;0"),"")</f>
      </c>
      <c r="O257" t="s">
        <v>740</v>
      </c>
      <c r="P257" t="s">
        <v>739</v>
      </c>
    </row>
    <row r="258" spans="1:16" customHeight="1" ht="58">
      <c r="A258" s="16"/>
      <c r="B258" s="18" t="s">
        <v>698</v>
      </c>
      <c r="C258" s="17" t="s">
        <v>450</v>
      </c>
      <c r="D258" s="17" t="s">
        <v>511</v>
      </c>
      <c r="E258" s="17" t="s">
        <v>699</v>
      </c>
      <c r="F258" s="19" t="s">
        <v>575</v>
      </c>
      <c r="G258" s="20">
        <v>5.0</v>
      </c>
      <c r="H258" s="21">
        <v>99.0</v>
      </c>
      <c r="I258" s="21">
        <v>58.0</v>
      </c>
      <c r="J258" s="22">
        <v>1554.0</v>
      </c>
      <c r="K258" s="50"/>
      <c r="L258" s="21" t="str">
        <f>IF(K258&gt;0,K258*I258,"")</f>
      </c>
      <c r="M258" s="52"/>
      <c r="N258" t="str">
        <f>IF(K258&gt;0,COUNTIF($K$7:K258,"&gt;0"),"")</f>
      </c>
      <c r="O258" t="s">
        <v>742</v>
      </c>
      <c r="P258" t="s">
        <v>741</v>
      </c>
    </row>
    <row r="259" spans="1:16" customHeight="1" ht="58">
      <c r="A259" s="16"/>
      <c r="B259" s="18" t="s">
        <v>698</v>
      </c>
      <c r="C259" s="17" t="s">
        <v>450</v>
      </c>
      <c r="D259" s="17" t="s">
        <v>467</v>
      </c>
      <c r="E259" s="17" t="s">
        <v>699</v>
      </c>
      <c r="F259" s="19" t="s">
        <v>575</v>
      </c>
      <c r="G259" s="20">
        <v>5.0</v>
      </c>
      <c r="H259" s="21">
        <v>99.0</v>
      </c>
      <c r="I259" s="21">
        <v>58.0</v>
      </c>
      <c r="J259" s="22">
        <v>2596.0</v>
      </c>
      <c r="K259" s="50"/>
      <c r="L259" s="21" t="str">
        <f>IF(K259&gt;0,K259*I259,"")</f>
      </c>
      <c r="M259" s="52"/>
      <c r="N259" t="str">
        <f>IF(K259&gt;0,COUNTIF($K$7:K259,"&gt;0"),"")</f>
      </c>
      <c r="O259" t="s">
        <v>744</v>
      </c>
      <c r="P259" t="s">
        <v>743</v>
      </c>
    </row>
    <row r="260" spans="1:16" customHeight="1" ht="58">
      <c r="A260" s="16"/>
      <c r="B260" s="18" t="s">
        <v>698</v>
      </c>
      <c r="C260" s="17" t="s">
        <v>450</v>
      </c>
      <c r="D260" s="17" t="s">
        <v>470</v>
      </c>
      <c r="E260" s="17" t="s">
        <v>699</v>
      </c>
      <c r="F260" s="19" t="s">
        <v>575</v>
      </c>
      <c r="G260" s="20">
        <v>5.0</v>
      </c>
      <c r="H260" s="21">
        <v>99.0</v>
      </c>
      <c r="I260" s="21">
        <v>58.0</v>
      </c>
      <c r="J260" s="22">
        <v>2894.0</v>
      </c>
      <c r="K260" s="50"/>
      <c r="L260" s="21" t="str">
        <f>IF(K260&gt;0,K260*I260,"")</f>
      </c>
      <c r="M260" s="52"/>
      <c r="N260" t="str">
        <f>IF(K260&gt;0,COUNTIF($K$7:K260,"&gt;0"),"")</f>
      </c>
      <c r="O260" t="s">
        <v>746</v>
      </c>
      <c r="P260" t="s">
        <v>745</v>
      </c>
    </row>
    <row r="261" spans="1:16" customHeight="1" ht="58">
      <c r="A261" s="16"/>
      <c r="B261" s="18" t="s">
        <v>748</v>
      </c>
      <c r="C261" s="17" t="s">
        <v>749</v>
      </c>
      <c r="D261" s="17" t="s">
        <v>190</v>
      </c>
      <c r="E261" s="17" t="s">
        <v>750</v>
      </c>
      <c r="F261" s="19"/>
      <c r="G261" s="20">
        <v>1.0</v>
      </c>
      <c r="H261" s="21">
        <v>297.0</v>
      </c>
      <c r="I261" s="21">
        <v>185.0</v>
      </c>
      <c r="J261" s="22">
        <v>32.0</v>
      </c>
      <c r="K261" s="50"/>
      <c r="L261" s="21" t="str">
        <f>IF(K261&gt;0,K261*I261,"")</f>
      </c>
      <c r="M261" s="52"/>
      <c r="N261" t="str">
        <f>IF(K261&gt;0,COUNTIF($K$7:K261,"&gt;0"),"")</f>
      </c>
      <c r="O261" t="s">
        <v>751</v>
      </c>
      <c r="P261" t="s">
        <v>747</v>
      </c>
    </row>
    <row r="262" spans="1:16" customHeight="1" ht="58">
      <c r="A262" s="16"/>
      <c r="B262" s="18" t="s">
        <v>753</v>
      </c>
      <c r="C262" s="17" t="s">
        <v>450</v>
      </c>
      <c r="D262" s="17" t="s">
        <v>754</v>
      </c>
      <c r="E262" s="17" t="s">
        <v>755</v>
      </c>
      <c r="F262" s="19"/>
      <c r="G262" s="20">
        <v>1.0</v>
      </c>
      <c r="H262" s="21">
        <v>132.0</v>
      </c>
      <c r="I262" s="21">
        <v>131.0</v>
      </c>
      <c r="J262" s="22">
        <v>475.0</v>
      </c>
      <c r="K262" s="50"/>
      <c r="L262" s="21" t="str">
        <f>IF(K262&gt;0,K262*I262,"")</f>
      </c>
      <c r="M262" s="52"/>
      <c r="N262" t="str">
        <f>IF(K262&gt;0,COUNTIF($K$7:K262,"&gt;0"),"")</f>
      </c>
      <c r="O262" t="s">
        <v>756</v>
      </c>
      <c r="P262" t="s">
        <v>752</v>
      </c>
    </row>
    <row r="263" spans="1:16" customHeight="1" ht="58">
      <c r="A263" s="16"/>
      <c r="B263" s="18" t="s">
        <v>753</v>
      </c>
      <c r="C263" s="17" t="s">
        <v>450</v>
      </c>
      <c r="D263" s="17" t="s">
        <v>758</v>
      </c>
      <c r="E263" s="17" t="s">
        <v>755</v>
      </c>
      <c r="F263" s="19"/>
      <c r="G263" s="20">
        <v>1.0</v>
      </c>
      <c r="H263" s="21">
        <v>132.0</v>
      </c>
      <c r="I263" s="21">
        <v>131.0</v>
      </c>
      <c r="J263" s="22">
        <v>1218.0</v>
      </c>
      <c r="K263" s="50"/>
      <c r="L263" s="21" t="str">
        <f>IF(K263&gt;0,K263*I263,"")</f>
      </c>
      <c r="M263" s="52"/>
      <c r="N263" t="str">
        <f>IF(K263&gt;0,COUNTIF($K$7:K263,"&gt;0"),"")</f>
      </c>
      <c r="O263" t="s">
        <v>759</v>
      </c>
      <c r="P263" t="s">
        <v>757</v>
      </c>
    </row>
    <row r="264" spans="1:16" customHeight="1" ht="58">
      <c r="A264" s="16"/>
      <c r="B264" s="18" t="s">
        <v>761</v>
      </c>
      <c r="C264" s="17" t="s">
        <v>450</v>
      </c>
      <c r="D264" s="17" t="s">
        <v>762</v>
      </c>
      <c r="E264" s="17" t="s">
        <v>755</v>
      </c>
      <c r="F264" s="19"/>
      <c r="G264" s="20">
        <v>1.0</v>
      </c>
      <c r="H264" s="21">
        <v>132.0</v>
      </c>
      <c r="I264" s="21">
        <v>131.0</v>
      </c>
      <c r="J264" s="22">
        <v>1369.0</v>
      </c>
      <c r="K264" s="50"/>
      <c r="L264" s="21" t="str">
        <f>IF(K264&gt;0,K264*I264,"")</f>
      </c>
      <c r="M264" s="52"/>
      <c r="N264" t="str">
        <f>IF(K264&gt;0,COUNTIF($K$7:K264,"&gt;0"),"")</f>
      </c>
      <c r="O264" t="s">
        <v>763</v>
      </c>
      <c r="P264" t="s">
        <v>760</v>
      </c>
    </row>
    <row r="265" spans="1:16" customHeight="1" ht="58">
      <c r="A265" s="16"/>
      <c r="B265" s="18" t="s">
        <v>761</v>
      </c>
      <c r="C265" s="17" t="s">
        <v>450</v>
      </c>
      <c r="D265" s="17" t="s">
        <v>765</v>
      </c>
      <c r="E265" s="17" t="s">
        <v>755</v>
      </c>
      <c r="F265" s="19"/>
      <c r="G265" s="20">
        <v>1.0</v>
      </c>
      <c r="H265" s="21">
        <v>132.0</v>
      </c>
      <c r="I265" s="21">
        <v>131.0</v>
      </c>
      <c r="J265" s="22">
        <v>1098.0</v>
      </c>
      <c r="K265" s="50"/>
      <c r="L265" s="21" t="str">
        <f>IF(K265&gt;0,K265*I265,"")</f>
      </c>
      <c r="M265" s="52"/>
      <c r="N265" t="str">
        <f>IF(K265&gt;0,COUNTIF($K$7:K265,"&gt;0"),"")</f>
      </c>
      <c r="O265" t="s">
        <v>766</v>
      </c>
      <c r="P265" t="s">
        <v>764</v>
      </c>
    </row>
    <row r="266" spans="1:16" customHeight="1" ht="58">
      <c r="A266" s="16"/>
      <c r="B266" s="18" t="s">
        <v>768</v>
      </c>
      <c r="C266" s="17" t="s">
        <v>450</v>
      </c>
      <c r="D266" s="17" t="s">
        <v>769</v>
      </c>
      <c r="E266" s="17" t="s">
        <v>770</v>
      </c>
      <c r="F266" s="19"/>
      <c r="G266" s="20">
        <v>1.0</v>
      </c>
      <c r="H266" s="21">
        <v>209.0</v>
      </c>
      <c r="I266" s="21">
        <v>203.0</v>
      </c>
      <c r="J266" s="22">
        <v>294.0</v>
      </c>
      <c r="K266" s="50"/>
      <c r="L266" s="21" t="str">
        <f>IF(K266&gt;0,K266*I266,"")</f>
      </c>
      <c r="M266" s="52"/>
      <c r="N266" t="str">
        <f>IF(K266&gt;0,COUNTIF($K$7:K266,"&gt;0"),"")</f>
      </c>
      <c r="O266" t="s">
        <v>771</v>
      </c>
      <c r="P266" t="s">
        <v>767</v>
      </c>
    </row>
    <row r="267" spans="1:16" customHeight="1" ht="58">
      <c r="A267" s="16"/>
      <c r="B267" s="18" t="s">
        <v>768</v>
      </c>
      <c r="C267" s="17" t="s">
        <v>450</v>
      </c>
      <c r="D267" s="17" t="s">
        <v>773</v>
      </c>
      <c r="E267" s="17" t="s">
        <v>770</v>
      </c>
      <c r="F267" s="19"/>
      <c r="G267" s="20">
        <v>1.0</v>
      </c>
      <c r="H267" s="21">
        <v>209.0</v>
      </c>
      <c r="I267" s="21">
        <v>203.0</v>
      </c>
      <c r="J267" s="22">
        <v>221.0</v>
      </c>
      <c r="K267" s="50"/>
      <c r="L267" s="21" t="str">
        <f>IF(K267&gt;0,K267*I267,"")</f>
      </c>
      <c r="M267" s="52"/>
      <c r="N267" t="str">
        <f>IF(K267&gt;0,COUNTIF($K$7:K267,"&gt;0"),"")</f>
      </c>
      <c r="O267" t="s">
        <v>774</v>
      </c>
      <c r="P267" t="s">
        <v>772</v>
      </c>
    </row>
    <row r="268" spans="1:16" customHeight="1" ht="58">
      <c r="A268" s="16"/>
      <c r="B268" s="18" t="s">
        <v>776</v>
      </c>
      <c r="C268" s="17" t="s">
        <v>450</v>
      </c>
      <c r="D268" s="17" t="s">
        <v>754</v>
      </c>
      <c r="E268" s="17" t="s">
        <v>770</v>
      </c>
      <c r="F268" s="19"/>
      <c r="G268" s="20">
        <v>1.0</v>
      </c>
      <c r="H268" s="21">
        <v>209.0</v>
      </c>
      <c r="I268" s="21">
        <v>203.0</v>
      </c>
      <c r="J268" s="22">
        <v>276.0</v>
      </c>
      <c r="K268" s="50"/>
      <c r="L268" s="21" t="str">
        <f>IF(K268&gt;0,K268*I268,"")</f>
      </c>
      <c r="M268" s="52"/>
      <c r="N268" t="str">
        <f>IF(K268&gt;0,COUNTIF($K$7:K268,"&gt;0"),"")</f>
      </c>
      <c r="O268" t="s">
        <v>777</v>
      </c>
      <c r="P268" t="s">
        <v>775</v>
      </c>
    </row>
    <row r="269" spans="1:16" customHeight="1" ht="58">
      <c r="A269" s="16"/>
      <c r="B269" s="18" t="s">
        <v>776</v>
      </c>
      <c r="C269" s="17" t="s">
        <v>450</v>
      </c>
      <c r="D269" s="17" t="s">
        <v>758</v>
      </c>
      <c r="E269" s="17" t="s">
        <v>770</v>
      </c>
      <c r="F269" s="19"/>
      <c r="G269" s="20">
        <v>1.0</v>
      </c>
      <c r="H269" s="21">
        <v>209.0</v>
      </c>
      <c r="I269" s="21">
        <v>203.0</v>
      </c>
      <c r="J269" s="22">
        <v>521.0</v>
      </c>
      <c r="K269" s="50"/>
      <c r="L269" s="21" t="str">
        <f>IF(K269&gt;0,K269*I269,"")</f>
      </c>
      <c r="M269" s="52"/>
      <c r="N269" t="str">
        <f>IF(K269&gt;0,COUNTIF($K$7:K269,"&gt;0"),"")</f>
      </c>
      <c r="O269" t="s">
        <v>779</v>
      </c>
      <c r="P269" t="s">
        <v>778</v>
      </c>
    </row>
    <row r="270" spans="1:16" customHeight="1" ht="58">
      <c r="A270" s="16"/>
      <c r="B270" s="18" t="s">
        <v>781</v>
      </c>
      <c r="C270" s="17" t="s">
        <v>782</v>
      </c>
      <c r="D270" s="17" t="s">
        <v>783</v>
      </c>
      <c r="E270" s="17" t="s">
        <v>784</v>
      </c>
      <c r="F270" s="19"/>
      <c r="G270" s="20">
        <v>1.0</v>
      </c>
      <c r="H270" s="21">
        <v>231.0</v>
      </c>
      <c r="I270" s="21">
        <v>143.0</v>
      </c>
      <c r="J270" s="22">
        <v>107.0</v>
      </c>
      <c r="K270" s="50"/>
      <c r="L270" s="21" t="str">
        <f>IF(K270&gt;0,K270*I270,"")</f>
      </c>
      <c r="M270" s="52"/>
      <c r="N270" t="str">
        <f>IF(K270&gt;0,COUNTIF($K$7:K270,"&gt;0"),"")</f>
      </c>
      <c r="O270" t="s">
        <v>785</v>
      </c>
      <c r="P270" t="s">
        <v>780</v>
      </c>
    </row>
    <row r="271" spans="1:16" customHeight="1" ht="58">
      <c r="A271" s="16"/>
      <c r="B271" s="18" t="s">
        <v>781</v>
      </c>
      <c r="C271" s="17" t="s">
        <v>782</v>
      </c>
      <c r="D271" s="17" t="s">
        <v>174</v>
      </c>
      <c r="E271" s="17" t="s">
        <v>784</v>
      </c>
      <c r="F271" s="19"/>
      <c r="G271" s="20">
        <v>1.0</v>
      </c>
      <c r="H271" s="21">
        <v>231.0</v>
      </c>
      <c r="I271" s="21">
        <v>143.0</v>
      </c>
      <c r="J271" s="22">
        <v>168.0</v>
      </c>
      <c r="K271" s="50"/>
      <c r="L271" s="21" t="str">
        <f>IF(K271&gt;0,K271*I271,"")</f>
      </c>
      <c r="M271" s="52"/>
      <c r="N271" t="str">
        <f>IF(K271&gt;0,COUNTIF($K$7:K271,"&gt;0"),"")</f>
      </c>
      <c r="O271" t="s">
        <v>787</v>
      </c>
      <c r="P271" t="s">
        <v>786</v>
      </c>
    </row>
    <row r="272" spans="1:16" customHeight="1" ht="24">
      <c r="A272" s="23" t="s">
        <v>788</v>
      </c>
      <c r="B272" s="24"/>
      <c r="C272" s="25"/>
      <c r="D272" s="25"/>
      <c r="E272" s="25"/>
      <c r="F272" s="26"/>
      <c r="G272" s="27"/>
      <c r="H272" s="28"/>
      <c r="I272" s="28"/>
      <c r="J272" s="29"/>
      <c r="K272" s="49"/>
      <c r="L272" s="28"/>
      <c r="M272" s="51"/>
      <c r="N272" t="str">
        <f>IF(K272&gt;0,COUNTIF($K$7:K272,"&gt;0"),"")</f>
      </c>
    </row>
    <row r="273" spans="1:16" customHeight="1" ht="58">
      <c r="A273" s="16"/>
      <c r="B273" s="18" t="s">
        <v>790</v>
      </c>
      <c r="C273" s="17" t="s">
        <v>29</v>
      </c>
      <c r="D273" s="17" t="s">
        <v>791</v>
      </c>
      <c r="E273" s="17" t="s">
        <v>792</v>
      </c>
      <c r="F273" s="19"/>
      <c r="G273" s="20">
        <v>1.0</v>
      </c>
      <c r="H273" s="21">
        <v>66.0</v>
      </c>
      <c r="I273" s="21">
        <v>42.0</v>
      </c>
      <c r="J273" s="22">
        <v>3531.0</v>
      </c>
      <c r="K273" s="50"/>
      <c r="L273" s="21" t="str">
        <f>IF(K273&gt;0,K273*I273,"")</f>
      </c>
      <c r="M273" s="52"/>
      <c r="N273" t="str">
        <f>IF(K273&gt;0,COUNTIF($K$7:K273,"&gt;0"),"")</f>
      </c>
      <c r="O273" t="s">
        <v>793</v>
      </c>
      <c r="P273" t="s">
        <v>789</v>
      </c>
    </row>
    <row r="274" spans="1:16" customHeight="1" ht="58">
      <c r="A274" s="16"/>
      <c r="B274" s="18" t="s">
        <v>790</v>
      </c>
      <c r="C274" s="17" t="s">
        <v>29</v>
      </c>
      <c r="D274" s="17" t="s">
        <v>795</v>
      </c>
      <c r="E274" s="17" t="s">
        <v>792</v>
      </c>
      <c r="F274" s="19"/>
      <c r="G274" s="20">
        <v>1.0</v>
      </c>
      <c r="H274" s="21">
        <v>66.0</v>
      </c>
      <c r="I274" s="21">
        <v>42.0</v>
      </c>
      <c r="J274" s="22">
        <v>2314.0</v>
      </c>
      <c r="K274" s="50"/>
      <c r="L274" s="21" t="str">
        <f>IF(K274&gt;0,K274*I274,"")</f>
      </c>
      <c r="M274" s="52"/>
      <c r="N274" t="str">
        <f>IF(K274&gt;0,COUNTIF($K$7:K274,"&gt;0"),"")</f>
      </c>
      <c r="O274" t="s">
        <v>796</v>
      </c>
      <c r="P274" t="s">
        <v>794</v>
      </c>
    </row>
    <row r="275" spans="1:16" customHeight="1" ht="58">
      <c r="A275" s="16"/>
      <c r="B275" s="18" t="s">
        <v>790</v>
      </c>
      <c r="C275" s="17" t="s">
        <v>29</v>
      </c>
      <c r="D275" s="17" t="s">
        <v>798</v>
      </c>
      <c r="E275" s="17" t="s">
        <v>792</v>
      </c>
      <c r="F275" s="19"/>
      <c r="G275" s="20">
        <v>1.0</v>
      </c>
      <c r="H275" s="21">
        <v>66.0</v>
      </c>
      <c r="I275" s="21">
        <v>42.0</v>
      </c>
      <c r="J275" s="22">
        <v>2867.0</v>
      </c>
      <c r="K275" s="50"/>
      <c r="L275" s="21" t="str">
        <f>IF(K275&gt;0,K275*I275,"")</f>
      </c>
      <c r="M275" s="52"/>
      <c r="N275" t="str">
        <f>IF(K275&gt;0,COUNTIF($K$7:K275,"&gt;0"),"")</f>
      </c>
      <c r="O275" t="s">
        <v>799</v>
      </c>
      <c r="P275" t="s">
        <v>797</v>
      </c>
    </row>
    <row r="276" spans="1:16" customHeight="1" ht="58">
      <c r="A276" s="16"/>
      <c r="B276" s="18" t="s">
        <v>790</v>
      </c>
      <c r="C276" s="17" t="s">
        <v>29</v>
      </c>
      <c r="D276" s="17" t="s">
        <v>801</v>
      </c>
      <c r="E276" s="17" t="s">
        <v>792</v>
      </c>
      <c r="F276" s="19"/>
      <c r="G276" s="20">
        <v>1.0</v>
      </c>
      <c r="H276" s="21">
        <v>66.0</v>
      </c>
      <c r="I276" s="21">
        <v>42.0</v>
      </c>
      <c r="J276" s="22">
        <v>2953.0</v>
      </c>
      <c r="K276" s="50"/>
      <c r="L276" s="21" t="str">
        <f>IF(K276&gt;0,K276*I276,"")</f>
      </c>
      <c r="M276" s="52"/>
      <c r="N276" t="str">
        <f>IF(K276&gt;0,COUNTIF($K$7:K276,"&gt;0"),"")</f>
      </c>
      <c r="O276" t="s">
        <v>802</v>
      </c>
      <c r="P276" t="s">
        <v>800</v>
      </c>
    </row>
    <row r="277" spans="1:16" customHeight="1" ht="58">
      <c r="A277" s="16"/>
      <c r="B277" s="18" t="s">
        <v>790</v>
      </c>
      <c r="C277" s="17" t="s">
        <v>29</v>
      </c>
      <c r="D277" s="17" t="s">
        <v>804</v>
      </c>
      <c r="E277" s="17" t="s">
        <v>792</v>
      </c>
      <c r="F277" s="19"/>
      <c r="G277" s="20">
        <v>1.0</v>
      </c>
      <c r="H277" s="21">
        <v>66.0</v>
      </c>
      <c r="I277" s="21">
        <v>42.0</v>
      </c>
      <c r="J277" s="22">
        <v>2030.0</v>
      </c>
      <c r="K277" s="50"/>
      <c r="L277" s="21" t="str">
        <f>IF(K277&gt;0,K277*I277,"")</f>
      </c>
      <c r="M277" s="52"/>
      <c r="N277" t="str">
        <f>IF(K277&gt;0,COUNTIF($K$7:K277,"&gt;0"),"")</f>
      </c>
      <c r="O277" t="s">
        <v>805</v>
      </c>
      <c r="P277" t="s">
        <v>803</v>
      </c>
    </row>
    <row r="278" spans="1:16" customHeight="1" ht="58">
      <c r="A278" s="16"/>
      <c r="B278" s="18" t="s">
        <v>790</v>
      </c>
      <c r="C278" s="17" t="s">
        <v>29</v>
      </c>
      <c r="D278" s="17" t="s">
        <v>807</v>
      </c>
      <c r="E278" s="17" t="s">
        <v>792</v>
      </c>
      <c r="F278" s="19"/>
      <c r="G278" s="20">
        <v>1.0</v>
      </c>
      <c r="H278" s="21">
        <v>66.0</v>
      </c>
      <c r="I278" s="21">
        <v>42.0</v>
      </c>
      <c r="J278" s="22">
        <v>2334.0</v>
      </c>
      <c r="K278" s="50"/>
      <c r="L278" s="21" t="str">
        <f>IF(K278&gt;0,K278*I278,"")</f>
      </c>
      <c r="M278" s="52"/>
      <c r="N278" t="str">
        <f>IF(K278&gt;0,COUNTIF($K$7:K278,"&gt;0"),"")</f>
      </c>
      <c r="O278" t="s">
        <v>808</v>
      </c>
      <c r="P278" t="s">
        <v>806</v>
      </c>
    </row>
    <row r="279" spans="1:16" customHeight="1" ht="58">
      <c r="A279" s="16"/>
      <c r="B279" s="18" t="s">
        <v>790</v>
      </c>
      <c r="C279" s="17" t="s">
        <v>29</v>
      </c>
      <c r="D279" s="17" t="s">
        <v>810</v>
      </c>
      <c r="E279" s="17" t="s">
        <v>792</v>
      </c>
      <c r="F279" s="19"/>
      <c r="G279" s="20">
        <v>1.0</v>
      </c>
      <c r="H279" s="21">
        <v>66.0</v>
      </c>
      <c r="I279" s="21">
        <v>42.0</v>
      </c>
      <c r="J279" s="22">
        <v>2866.0</v>
      </c>
      <c r="K279" s="50"/>
      <c r="L279" s="21" t="str">
        <f>IF(K279&gt;0,K279*I279,"")</f>
      </c>
      <c r="M279" s="52"/>
      <c r="N279" t="str">
        <f>IF(K279&gt;0,COUNTIF($K$7:K279,"&gt;0"),"")</f>
      </c>
      <c r="O279" t="s">
        <v>811</v>
      </c>
      <c r="P279" t="s">
        <v>809</v>
      </c>
    </row>
    <row r="280" spans="1:16" customHeight="1" ht="58">
      <c r="A280" s="16"/>
      <c r="B280" s="18" t="s">
        <v>790</v>
      </c>
      <c r="C280" s="17" t="s">
        <v>29</v>
      </c>
      <c r="D280" s="17" t="s">
        <v>813</v>
      </c>
      <c r="E280" s="17" t="s">
        <v>792</v>
      </c>
      <c r="F280" s="19"/>
      <c r="G280" s="20">
        <v>1.0</v>
      </c>
      <c r="H280" s="21">
        <v>66.0</v>
      </c>
      <c r="I280" s="21">
        <v>42.0</v>
      </c>
      <c r="J280" s="22">
        <v>3201.0</v>
      </c>
      <c r="K280" s="50"/>
      <c r="L280" s="21" t="str">
        <f>IF(K280&gt;0,K280*I280,"")</f>
      </c>
      <c r="M280" s="52"/>
      <c r="N280" t="str">
        <f>IF(K280&gt;0,COUNTIF($K$7:K280,"&gt;0"),"")</f>
      </c>
      <c r="O280" t="s">
        <v>814</v>
      </c>
      <c r="P280" t="s">
        <v>812</v>
      </c>
    </row>
    <row r="281" spans="1:16" customHeight="1" ht="58">
      <c r="A281" s="16"/>
      <c r="B281" s="18" t="s">
        <v>790</v>
      </c>
      <c r="C281" s="17" t="s">
        <v>29</v>
      </c>
      <c r="D281" s="17" t="s">
        <v>816</v>
      </c>
      <c r="E281" s="17" t="s">
        <v>792</v>
      </c>
      <c r="F281" s="19"/>
      <c r="G281" s="20">
        <v>1.0</v>
      </c>
      <c r="H281" s="21">
        <v>66.0</v>
      </c>
      <c r="I281" s="21">
        <v>42.0</v>
      </c>
      <c r="J281" s="22">
        <v>2770.0</v>
      </c>
      <c r="K281" s="50"/>
      <c r="L281" s="21" t="str">
        <f>IF(K281&gt;0,K281*I281,"")</f>
      </c>
      <c r="M281" s="52"/>
      <c r="N281" t="str">
        <f>IF(K281&gt;0,COUNTIF($K$7:K281,"&gt;0"),"")</f>
      </c>
      <c r="O281" t="s">
        <v>817</v>
      </c>
      <c r="P281" t="s">
        <v>815</v>
      </c>
    </row>
    <row r="282" spans="1:16" customHeight="1" ht="58">
      <c r="A282" s="16"/>
      <c r="B282" s="18" t="s">
        <v>790</v>
      </c>
      <c r="C282" s="17" t="s">
        <v>29</v>
      </c>
      <c r="D282" s="17" t="s">
        <v>819</v>
      </c>
      <c r="E282" s="17" t="s">
        <v>792</v>
      </c>
      <c r="F282" s="19"/>
      <c r="G282" s="20">
        <v>1.0</v>
      </c>
      <c r="H282" s="21">
        <v>66.0</v>
      </c>
      <c r="I282" s="21">
        <v>42.0</v>
      </c>
      <c r="J282" s="22">
        <v>2871.0</v>
      </c>
      <c r="K282" s="50"/>
      <c r="L282" s="21" t="str">
        <f>IF(K282&gt;0,K282*I282,"")</f>
      </c>
      <c r="M282" s="52"/>
      <c r="N282" t="str">
        <f>IF(K282&gt;0,COUNTIF($K$7:K282,"&gt;0"),"")</f>
      </c>
      <c r="O282" t="s">
        <v>820</v>
      </c>
      <c r="P282" t="s">
        <v>818</v>
      </c>
    </row>
    <row r="283" spans="1:16" customHeight="1" ht="58">
      <c r="A283" s="16"/>
      <c r="B283" s="18" t="s">
        <v>790</v>
      </c>
      <c r="C283" s="17" t="s">
        <v>29</v>
      </c>
      <c r="D283" s="17" t="s">
        <v>822</v>
      </c>
      <c r="E283" s="17" t="s">
        <v>792</v>
      </c>
      <c r="F283" s="19"/>
      <c r="G283" s="20">
        <v>1.0</v>
      </c>
      <c r="H283" s="21">
        <v>66.0</v>
      </c>
      <c r="I283" s="21">
        <v>42.0</v>
      </c>
      <c r="J283" s="22">
        <v>2909.0</v>
      </c>
      <c r="K283" s="50"/>
      <c r="L283" s="21" t="str">
        <f>IF(K283&gt;0,K283*I283,"")</f>
      </c>
      <c r="M283" s="52"/>
      <c r="N283" t="str">
        <f>IF(K283&gt;0,COUNTIF($K$7:K283,"&gt;0"),"")</f>
      </c>
      <c r="O283" t="s">
        <v>823</v>
      </c>
      <c r="P283" t="s">
        <v>821</v>
      </c>
    </row>
    <row r="284" spans="1:16" customHeight="1" ht="58">
      <c r="A284" s="16"/>
      <c r="B284" s="18" t="s">
        <v>790</v>
      </c>
      <c r="C284" s="17" t="s">
        <v>29</v>
      </c>
      <c r="D284" s="17" t="s">
        <v>825</v>
      </c>
      <c r="E284" s="17" t="s">
        <v>792</v>
      </c>
      <c r="F284" s="19"/>
      <c r="G284" s="20">
        <v>1.0</v>
      </c>
      <c r="H284" s="21">
        <v>66.0</v>
      </c>
      <c r="I284" s="21">
        <v>42.0</v>
      </c>
      <c r="J284" s="22">
        <v>3824.0</v>
      </c>
      <c r="K284" s="50"/>
      <c r="L284" s="21" t="str">
        <f>IF(K284&gt;0,K284*I284,"")</f>
      </c>
      <c r="M284" s="52"/>
      <c r="N284" t="str">
        <f>IF(K284&gt;0,COUNTIF($K$7:K284,"&gt;0"),"")</f>
      </c>
      <c r="O284" t="s">
        <v>826</v>
      </c>
      <c r="P284" t="s">
        <v>824</v>
      </c>
    </row>
    <row r="285" spans="1:16" customHeight="1" ht="58">
      <c r="A285" s="16"/>
      <c r="B285" s="18" t="s">
        <v>790</v>
      </c>
      <c r="C285" s="17" t="s">
        <v>29</v>
      </c>
      <c r="D285" s="17" t="s">
        <v>828</v>
      </c>
      <c r="E285" s="17" t="s">
        <v>792</v>
      </c>
      <c r="F285" s="19"/>
      <c r="G285" s="20">
        <v>1.0</v>
      </c>
      <c r="H285" s="21">
        <v>66.0</v>
      </c>
      <c r="I285" s="21">
        <v>42.0</v>
      </c>
      <c r="J285" s="22">
        <v>2832.0</v>
      </c>
      <c r="K285" s="50"/>
      <c r="L285" s="21" t="str">
        <f>IF(K285&gt;0,K285*I285,"")</f>
      </c>
      <c r="M285" s="52"/>
      <c r="N285" t="str">
        <f>IF(K285&gt;0,COUNTIF($K$7:K285,"&gt;0"),"")</f>
      </c>
      <c r="O285" t="s">
        <v>829</v>
      </c>
      <c r="P285" t="s">
        <v>827</v>
      </c>
    </row>
    <row r="286" spans="1:16" customHeight="1" ht="58">
      <c r="A286" s="16"/>
      <c r="B286" s="18" t="s">
        <v>790</v>
      </c>
      <c r="C286" s="17" t="s">
        <v>29</v>
      </c>
      <c r="D286" s="17" t="s">
        <v>831</v>
      </c>
      <c r="E286" s="17" t="s">
        <v>792</v>
      </c>
      <c r="F286" s="19"/>
      <c r="G286" s="20">
        <v>1.0</v>
      </c>
      <c r="H286" s="21">
        <v>66.0</v>
      </c>
      <c r="I286" s="21">
        <v>42.0</v>
      </c>
      <c r="J286" s="22">
        <v>2658.0</v>
      </c>
      <c r="K286" s="50"/>
      <c r="L286" s="21" t="str">
        <f>IF(K286&gt;0,K286*I286,"")</f>
      </c>
      <c r="M286" s="52"/>
      <c r="N286" t="str">
        <f>IF(K286&gt;0,COUNTIF($K$7:K286,"&gt;0"),"")</f>
      </c>
      <c r="O286" t="s">
        <v>832</v>
      </c>
      <c r="P286" t="s">
        <v>830</v>
      </c>
    </row>
    <row r="287" spans="1:16" customHeight="1" ht="58">
      <c r="A287" s="16"/>
      <c r="B287" s="18" t="s">
        <v>790</v>
      </c>
      <c r="C287" s="17" t="s">
        <v>29</v>
      </c>
      <c r="D287" s="17" t="s">
        <v>834</v>
      </c>
      <c r="E287" s="17" t="s">
        <v>792</v>
      </c>
      <c r="F287" s="19"/>
      <c r="G287" s="20">
        <v>1.0</v>
      </c>
      <c r="H287" s="21">
        <v>66.0</v>
      </c>
      <c r="I287" s="21">
        <v>42.0</v>
      </c>
      <c r="J287" s="22">
        <v>2853.0</v>
      </c>
      <c r="K287" s="50"/>
      <c r="L287" s="21" t="str">
        <f>IF(K287&gt;0,K287*I287,"")</f>
      </c>
      <c r="M287" s="52"/>
      <c r="N287" t="str">
        <f>IF(K287&gt;0,COUNTIF($K$7:K287,"&gt;0"),"")</f>
      </c>
      <c r="O287" t="s">
        <v>835</v>
      </c>
      <c r="P287" t="s">
        <v>833</v>
      </c>
    </row>
    <row r="288" spans="1:16" customHeight="1" ht="58">
      <c r="A288" s="16"/>
      <c r="B288" s="18" t="s">
        <v>790</v>
      </c>
      <c r="C288" s="17" t="s">
        <v>29</v>
      </c>
      <c r="D288" s="17" t="s">
        <v>837</v>
      </c>
      <c r="E288" s="17" t="s">
        <v>792</v>
      </c>
      <c r="F288" s="19"/>
      <c r="G288" s="20">
        <v>1.0</v>
      </c>
      <c r="H288" s="21">
        <v>66.0</v>
      </c>
      <c r="I288" s="21">
        <v>42.0</v>
      </c>
      <c r="J288" s="22">
        <v>2937.0</v>
      </c>
      <c r="K288" s="50"/>
      <c r="L288" s="21" t="str">
        <f>IF(K288&gt;0,K288*I288,"")</f>
      </c>
      <c r="M288" s="52"/>
      <c r="N288" t="str">
        <f>IF(K288&gt;0,COUNTIF($K$7:K288,"&gt;0"),"")</f>
      </c>
      <c r="O288" t="s">
        <v>838</v>
      </c>
      <c r="P288" t="s">
        <v>836</v>
      </c>
    </row>
    <row r="289" spans="1:16" customHeight="1" ht="58">
      <c r="A289" s="16"/>
      <c r="B289" s="18" t="s">
        <v>790</v>
      </c>
      <c r="C289" s="17" t="s">
        <v>29</v>
      </c>
      <c r="D289" s="17" t="s">
        <v>840</v>
      </c>
      <c r="E289" s="17" t="s">
        <v>792</v>
      </c>
      <c r="F289" s="19"/>
      <c r="G289" s="20">
        <v>1.0</v>
      </c>
      <c r="H289" s="21">
        <v>66.0</v>
      </c>
      <c r="I289" s="21">
        <v>42.0</v>
      </c>
      <c r="J289" s="22">
        <v>2400.0</v>
      </c>
      <c r="K289" s="50"/>
      <c r="L289" s="21" t="str">
        <f>IF(K289&gt;0,K289*I289,"")</f>
      </c>
      <c r="M289" s="52"/>
      <c r="N289" t="str">
        <f>IF(K289&gt;0,COUNTIF($K$7:K289,"&gt;0"),"")</f>
      </c>
      <c r="O289" t="s">
        <v>841</v>
      </c>
      <c r="P289" t="s">
        <v>839</v>
      </c>
    </row>
    <row r="290" spans="1:16" customHeight="1" ht="58">
      <c r="A290" s="16"/>
      <c r="B290" s="18" t="s">
        <v>790</v>
      </c>
      <c r="C290" s="17" t="s">
        <v>29</v>
      </c>
      <c r="D290" s="17" t="s">
        <v>843</v>
      </c>
      <c r="E290" s="17" t="s">
        <v>792</v>
      </c>
      <c r="F290" s="19"/>
      <c r="G290" s="20">
        <v>1.0</v>
      </c>
      <c r="H290" s="21">
        <v>66.0</v>
      </c>
      <c r="I290" s="21">
        <v>42.0</v>
      </c>
      <c r="J290" s="22">
        <v>2994.0</v>
      </c>
      <c r="K290" s="50"/>
      <c r="L290" s="21" t="str">
        <f>IF(K290&gt;0,K290*I290,"")</f>
      </c>
      <c r="M290" s="52"/>
      <c r="N290" t="str">
        <f>IF(K290&gt;0,COUNTIF($K$7:K290,"&gt;0"),"")</f>
      </c>
      <c r="O290" t="s">
        <v>844</v>
      </c>
      <c r="P290" t="s">
        <v>842</v>
      </c>
    </row>
    <row r="291" spans="1:16" customHeight="1" ht="58">
      <c r="A291" s="16"/>
      <c r="B291" s="18" t="s">
        <v>790</v>
      </c>
      <c r="C291" s="17" t="s">
        <v>29</v>
      </c>
      <c r="D291" s="17" t="s">
        <v>846</v>
      </c>
      <c r="E291" s="17" t="s">
        <v>792</v>
      </c>
      <c r="F291" s="19"/>
      <c r="G291" s="20">
        <v>1.0</v>
      </c>
      <c r="H291" s="21">
        <v>66.0</v>
      </c>
      <c r="I291" s="21">
        <v>42.0</v>
      </c>
      <c r="J291" s="22">
        <v>3461.0</v>
      </c>
      <c r="K291" s="50"/>
      <c r="L291" s="21" t="str">
        <f>IF(K291&gt;0,K291*I291,"")</f>
      </c>
      <c r="M291" s="52"/>
      <c r="N291" t="str">
        <f>IF(K291&gt;0,COUNTIF($K$7:K291,"&gt;0"),"")</f>
      </c>
      <c r="O291" t="s">
        <v>847</v>
      </c>
      <c r="P291" t="s">
        <v>845</v>
      </c>
    </row>
    <row r="292" spans="1:16" customHeight="1" ht="58">
      <c r="A292" s="16"/>
      <c r="B292" s="18" t="s">
        <v>790</v>
      </c>
      <c r="C292" s="17" t="s">
        <v>29</v>
      </c>
      <c r="D292" s="17" t="s">
        <v>849</v>
      </c>
      <c r="E292" s="17" t="s">
        <v>792</v>
      </c>
      <c r="F292" s="19"/>
      <c r="G292" s="20">
        <v>1.0</v>
      </c>
      <c r="H292" s="21">
        <v>66.0</v>
      </c>
      <c r="I292" s="21">
        <v>42.0</v>
      </c>
      <c r="J292" s="22">
        <v>3254.0</v>
      </c>
      <c r="K292" s="50"/>
      <c r="L292" s="21" t="str">
        <f>IF(K292&gt;0,K292*I292,"")</f>
      </c>
      <c r="M292" s="52"/>
      <c r="N292" t="str">
        <f>IF(K292&gt;0,COUNTIF($K$7:K292,"&gt;0"),"")</f>
      </c>
      <c r="O292" t="s">
        <v>850</v>
      </c>
      <c r="P292" t="s">
        <v>848</v>
      </c>
    </row>
    <row r="293" spans="1:16" customHeight="1" ht="58">
      <c r="A293" s="16"/>
      <c r="B293" s="18" t="s">
        <v>790</v>
      </c>
      <c r="C293" s="17" t="s">
        <v>29</v>
      </c>
      <c r="D293" s="17" t="s">
        <v>852</v>
      </c>
      <c r="E293" s="17" t="s">
        <v>792</v>
      </c>
      <c r="F293" s="19"/>
      <c r="G293" s="20">
        <v>1.0</v>
      </c>
      <c r="H293" s="21">
        <v>66.0</v>
      </c>
      <c r="I293" s="21">
        <v>42.0</v>
      </c>
      <c r="J293" s="22">
        <v>2938.0</v>
      </c>
      <c r="K293" s="50"/>
      <c r="L293" s="21" t="str">
        <f>IF(K293&gt;0,K293*I293,"")</f>
      </c>
      <c r="M293" s="52"/>
      <c r="N293" t="str">
        <f>IF(K293&gt;0,COUNTIF($K$7:K293,"&gt;0"),"")</f>
      </c>
      <c r="O293" t="s">
        <v>853</v>
      </c>
      <c r="P293" t="s">
        <v>851</v>
      </c>
    </row>
    <row r="294" spans="1:16" customHeight="1" ht="58">
      <c r="A294" s="16"/>
      <c r="B294" s="18" t="s">
        <v>790</v>
      </c>
      <c r="C294" s="17" t="s">
        <v>29</v>
      </c>
      <c r="D294" s="17" t="s">
        <v>855</v>
      </c>
      <c r="E294" s="17" t="s">
        <v>792</v>
      </c>
      <c r="F294" s="19"/>
      <c r="G294" s="20">
        <v>1.0</v>
      </c>
      <c r="H294" s="21">
        <v>66.0</v>
      </c>
      <c r="I294" s="21">
        <v>42.0</v>
      </c>
      <c r="J294" s="22">
        <v>2699.0</v>
      </c>
      <c r="K294" s="50"/>
      <c r="L294" s="21" t="str">
        <f>IF(K294&gt;0,K294*I294,"")</f>
      </c>
      <c r="M294" s="52"/>
      <c r="N294" t="str">
        <f>IF(K294&gt;0,COUNTIF($K$7:K294,"&gt;0"),"")</f>
      </c>
      <c r="O294" t="s">
        <v>856</v>
      </c>
      <c r="P294" t="s">
        <v>854</v>
      </c>
    </row>
    <row r="295" spans="1:16" customHeight="1" ht="58">
      <c r="A295" s="16"/>
      <c r="B295" s="18" t="s">
        <v>790</v>
      </c>
      <c r="C295" s="17" t="s">
        <v>29</v>
      </c>
      <c r="D295" s="17" t="s">
        <v>858</v>
      </c>
      <c r="E295" s="17" t="s">
        <v>792</v>
      </c>
      <c r="F295" s="19"/>
      <c r="G295" s="20">
        <v>1.0</v>
      </c>
      <c r="H295" s="21">
        <v>66.0</v>
      </c>
      <c r="I295" s="21">
        <v>42.0</v>
      </c>
      <c r="J295" s="22">
        <v>2872.0</v>
      </c>
      <c r="K295" s="50"/>
      <c r="L295" s="21" t="str">
        <f>IF(K295&gt;0,K295*I295,"")</f>
      </c>
      <c r="M295" s="52"/>
      <c r="N295" t="str">
        <f>IF(K295&gt;0,COUNTIF($K$7:K295,"&gt;0"),"")</f>
      </c>
      <c r="O295" t="s">
        <v>859</v>
      </c>
      <c r="P295" t="s">
        <v>857</v>
      </c>
    </row>
    <row r="296" spans="1:16" customHeight="1" ht="58">
      <c r="A296" s="16"/>
      <c r="B296" s="18" t="s">
        <v>790</v>
      </c>
      <c r="C296" s="17" t="s">
        <v>29</v>
      </c>
      <c r="D296" s="17" t="s">
        <v>861</v>
      </c>
      <c r="E296" s="17" t="s">
        <v>792</v>
      </c>
      <c r="F296" s="19"/>
      <c r="G296" s="20">
        <v>1.0</v>
      </c>
      <c r="H296" s="21">
        <v>66.0</v>
      </c>
      <c r="I296" s="21">
        <v>42.0</v>
      </c>
      <c r="J296" s="22">
        <v>1113.0</v>
      </c>
      <c r="K296" s="50"/>
      <c r="L296" s="21" t="str">
        <f>IF(K296&gt;0,K296*I296,"")</f>
      </c>
      <c r="M296" s="52"/>
      <c r="N296" t="str">
        <f>IF(K296&gt;0,COUNTIF($K$7:K296,"&gt;0"),"")</f>
      </c>
      <c r="O296" t="s">
        <v>862</v>
      </c>
      <c r="P296" t="s">
        <v>860</v>
      </c>
    </row>
    <row r="297" spans="1:16" customHeight="1" ht="58">
      <c r="A297" s="16"/>
      <c r="B297" s="18" t="s">
        <v>790</v>
      </c>
      <c r="C297" s="17" t="s">
        <v>29</v>
      </c>
      <c r="D297" s="17" t="s">
        <v>864</v>
      </c>
      <c r="E297" s="17" t="s">
        <v>792</v>
      </c>
      <c r="F297" s="19"/>
      <c r="G297" s="20">
        <v>1.0</v>
      </c>
      <c r="H297" s="21">
        <v>66.0</v>
      </c>
      <c r="I297" s="21">
        <v>42.0</v>
      </c>
      <c r="J297" s="22">
        <v>3765.0</v>
      </c>
      <c r="K297" s="50"/>
      <c r="L297" s="21" t="str">
        <f>IF(K297&gt;0,K297*I297,"")</f>
      </c>
      <c r="M297" s="52"/>
      <c r="N297" t="str">
        <f>IF(K297&gt;0,COUNTIF($K$7:K297,"&gt;0"),"")</f>
      </c>
      <c r="O297" t="s">
        <v>865</v>
      </c>
      <c r="P297" t="s">
        <v>863</v>
      </c>
    </row>
    <row r="298" spans="1:16" customHeight="1" ht="58">
      <c r="A298" s="16"/>
      <c r="B298" s="18" t="s">
        <v>790</v>
      </c>
      <c r="C298" s="17" t="s">
        <v>29</v>
      </c>
      <c r="D298" s="17" t="s">
        <v>867</v>
      </c>
      <c r="E298" s="17" t="s">
        <v>792</v>
      </c>
      <c r="F298" s="19"/>
      <c r="G298" s="20">
        <v>1.0</v>
      </c>
      <c r="H298" s="21">
        <v>66.0</v>
      </c>
      <c r="I298" s="21">
        <v>42.0</v>
      </c>
      <c r="J298" s="22">
        <v>3105.0</v>
      </c>
      <c r="K298" s="50"/>
      <c r="L298" s="21" t="str">
        <f>IF(K298&gt;0,K298*I298,"")</f>
      </c>
      <c r="M298" s="52"/>
      <c r="N298" t="str">
        <f>IF(K298&gt;0,COUNTIF($K$7:K298,"&gt;0"),"")</f>
      </c>
      <c r="O298" t="s">
        <v>868</v>
      </c>
      <c r="P298" t="s">
        <v>866</v>
      </c>
    </row>
    <row r="299" spans="1:16" customHeight="1" ht="58">
      <c r="A299" s="16"/>
      <c r="B299" s="18" t="s">
        <v>790</v>
      </c>
      <c r="C299" s="17" t="s">
        <v>29</v>
      </c>
      <c r="D299" s="17" t="s">
        <v>870</v>
      </c>
      <c r="E299" s="17" t="s">
        <v>792</v>
      </c>
      <c r="F299" s="19"/>
      <c r="G299" s="20">
        <v>1.0</v>
      </c>
      <c r="H299" s="21">
        <v>66.0</v>
      </c>
      <c r="I299" s="21">
        <v>42.0</v>
      </c>
      <c r="J299" s="22">
        <v>2898.0</v>
      </c>
      <c r="K299" s="50"/>
      <c r="L299" s="21" t="str">
        <f>IF(K299&gt;0,K299*I299,"")</f>
      </c>
      <c r="M299" s="52"/>
      <c r="N299" t="str">
        <f>IF(K299&gt;0,COUNTIF($K$7:K299,"&gt;0"),"")</f>
      </c>
      <c r="O299" t="s">
        <v>871</v>
      </c>
      <c r="P299" t="s">
        <v>869</v>
      </c>
    </row>
    <row r="300" spans="1:16" customHeight="1" ht="58">
      <c r="A300" s="16"/>
      <c r="B300" s="18" t="s">
        <v>790</v>
      </c>
      <c r="C300" s="17" t="s">
        <v>29</v>
      </c>
      <c r="D300" s="17" t="s">
        <v>873</v>
      </c>
      <c r="E300" s="17" t="s">
        <v>792</v>
      </c>
      <c r="F300" s="19"/>
      <c r="G300" s="20">
        <v>1.0</v>
      </c>
      <c r="H300" s="21">
        <v>66.0</v>
      </c>
      <c r="I300" s="21">
        <v>42.0</v>
      </c>
      <c r="J300" s="22">
        <v>1943.0</v>
      </c>
      <c r="K300" s="50"/>
      <c r="L300" s="21" t="str">
        <f>IF(K300&gt;0,K300*I300,"")</f>
      </c>
      <c r="M300" s="52"/>
      <c r="N300" t="str">
        <f>IF(K300&gt;0,COUNTIF($K$7:K300,"&gt;0"),"")</f>
      </c>
      <c r="O300" t="s">
        <v>874</v>
      </c>
      <c r="P300" t="s">
        <v>872</v>
      </c>
    </row>
    <row r="301" spans="1:16" customHeight="1" ht="58">
      <c r="A301" s="16"/>
      <c r="B301" s="18" t="s">
        <v>790</v>
      </c>
      <c r="C301" s="17" t="s">
        <v>29</v>
      </c>
      <c r="D301" s="17" t="s">
        <v>876</v>
      </c>
      <c r="E301" s="17" t="s">
        <v>792</v>
      </c>
      <c r="F301" s="19"/>
      <c r="G301" s="20">
        <v>1.0</v>
      </c>
      <c r="H301" s="21">
        <v>66.0</v>
      </c>
      <c r="I301" s="21">
        <v>42.0</v>
      </c>
      <c r="J301" s="22">
        <v>2346.0</v>
      </c>
      <c r="K301" s="50"/>
      <c r="L301" s="21" t="str">
        <f>IF(K301&gt;0,K301*I301,"")</f>
      </c>
      <c r="M301" s="52"/>
      <c r="N301" t="str">
        <f>IF(K301&gt;0,COUNTIF($K$7:K301,"&gt;0"),"")</f>
      </c>
      <c r="O301" t="s">
        <v>877</v>
      </c>
      <c r="P301" t="s">
        <v>875</v>
      </c>
    </row>
    <row r="302" spans="1:16" customHeight="1" ht="58">
      <c r="A302" s="16"/>
      <c r="B302" s="18" t="s">
        <v>790</v>
      </c>
      <c r="C302" s="17" t="s">
        <v>29</v>
      </c>
      <c r="D302" s="17" t="s">
        <v>879</v>
      </c>
      <c r="E302" s="17" t="s">
        <v>792</v>
      </c>
      <c r="F302" s="19"/>
      <c r="G302" s="20">
        <v>1.0</v>
      </c>
      <c r="H302" s="21">
        <v>66.0</v>
      </c>
      <c r="I302" s="21">
        <v>42.0</v>
      </c>
      <c r="J302" s="22">
        <v>3680.0</v>
      </c>
      <c r="K302" s="50"/>
      <c r="L302" s="21" t="str">
        <f>IF(K302&gt;0,K302*I302,"")</f>
      </c>
      <c r="M302" s="52"/>
      <c r="N302" t="str">
        <f>IF(K302&gt;0,COUNTIF($K$7:K302,"&gt;0"),"")</f>
      </c>
      <c r="O302" t="s">
        <v>880</v>
      </c>
      <c r="P302" t="s">
        <v>878</v>
      </c>
    </row>
    <row r="303" spans="1:16" customHeight="1" ht="58">
      <c r="A303" s="16"/>
      <c r="B303" s="18" t="s">
        <v>882</v>
      </c>
      <c r="C303" s="17" t="s">
        <v>29</v>
      </c>
      <c r="D303" s="17" t="s">
        <v>883</v>
      </c>
      <c r="E303" s="17" t="s">
        <v>884</v>
      </c>
      <c r="F303" s="19"/>
      <c r="G303" s="20">
        <v>1.0</v>
      </c>
      <c r="H303" s="21">
        <v>209.0</v>
      </c>
      <c r="I303" s="21">
        <v>207.0</v>
      </c>
      <c r="J303" s="22">
        <v>912.0</v>
      </c>
      <c r="K303" s="50"/>
      <c r="L303" s="21" t="str">
        <f>IF(K303&gt;0,K303*I303,"")</f>
      </c>
      <c r="M303" s="52"/>
      <c r="N303" t="str">
        <f>IF(K303&gt;0,COUNTIF($K$7:K303,"&gt;0"),"")</f>
      </c>
      <c r="O303" t="s">
        <v>885</v>
      </c>
      <c r="P303" t="s">
        <v>881</v>
      </c>
    </row>
    <row r="304" spans="1:16" customHeight="1" ht="58">
      <c r="A304" s="16"/>
      <c r="B304" s="18" t="s">
        <v>887</v>
      </c>
      <c r="C304" s="17" t="s">
        <v>29</v>
      </c>
      <c r="D304" s="17" t="s">
        <v>883</v>
      </c>
      <c r="E304" s="17" t="s">
        <v>888</v>
      </c>
      <c r="F304" s="19"/>
      <c r="G304" s="20">
        <v>1.0</v>
      </c>
      <c r="H304" s="21">
        <v>154.0</v>
      </c>
      <c r="I304" s="21">
        <v>96.0</v>
      </c>
      <c r="J304" s="22">
        <v>57.0</v>
      </c>
      <c r="K304" s="50"/>
      <c r="L304" s="21" t="str">
        <f>IF(K304&gt;0,K304*I304,"")</f>
      </c>
      <c r="M304" s="52"/>
      <c r="N304" t="str">
        <f>IF(K304&gt;0,COUNTIF($K$7:K304,"&gt;0"),"")</f>
      </c>
      <c r="O304" t="s">
        <v>889</v>
      </c>
      <c r="P304" t="s">
        <v>886</v>
      </c>
    </row>
    <row r="305" spans="1:16" customHeight="1" ht="58">
      <c r="A305" s="16"/>
      <c r="B305" s="18" t="s">
        <v>891</v>
      </c>
      <c r="C305" s="17" t="s">
        <v>29</v>
      </c>
      <c r="D305" s="17" t="s">
        <v>822</v>
      </c>
      <c r="E305" s="17" t="s">
        <v>892</v>
      </c>
      <c r="F305" s="19"/>
      <c r="G305" s="20">
        <v>1.0</v>
      </c>
      <c r="H305" s="21">
        <v>82.5</v>
      </c>
      <c r="I305" s="21">
        <v>70.0</v>
      </c>
      <c r="J305" s="22">
        <v>2016.0</v>
      </c>
      <c r="K305" s="50"/>
      <c r="L305" s="21" t="str">
        <f>IF(K305&gt;0,K305*I305,"")</f>
      </c>
      <c r="M305" s="52"/>
      <c r="N305" t="str">
        <f>IF(K305&gt;0,COUNTIF($K$7:K305,"&gt;0"),"")</f>
      </c>
      <c r="O305" t="s">
        <v>893</v>
      </c>
      <c r="P305" t="s">
        <v>890</v>
      </c>
    </row>
    <row r="306" spans="1:16" customHeight="1" ht="58">
      <c r="A306" s="16"/>
      <c r="B306" s="18" t="s">
        <v>891</v>
      </c>
      <c r="C306" s="17" t="s">
        <v>29</v>
      </c>
      <c r="D306" s="17" t="s">
        <v>834</v>
      </c>
      <c r="E306" s="17" t="s">
        <v>892</v>
      </c>
      <c r="F306" s="19"/>
      <c r="G306" s="20">
        <v>1.0</v>
      </c>
      <c r="H306" s="21">
        <v>82.5</v>
      </c>
      <c r="I306" s="21">
        <v>70.0</v>
      </c>
      <c r="J306" s="22">
        <v>1077.0</v>
      </c>
      <c r="K306" s="50"/>
      <c r="L306" s="21" t="str">
        <f>IF(K306&gt;0,K306*I306,"")</f>
      </c>
      <c r="M306" s="52"/>
      <c r="N306" t="str">
        <f>IF(K306&gt;0,COUNTIF($K$7:K306,"&gt;0"),"")</f>
      </c>
      <c r="O306" t="s">
        <v>895</v>
      </c>
      <c r="P306" t="s">
        <v>894</v>
      </c>
    </row>
    <row r="307" spans="1:16" customHeight="1" ht="58">
      <c r="A307" s="16"/>
      <c r="B307" s="18" t="s">
        <v>891</v>
      </c>
      <c r="C307" s="17" t="s">
        <v>29</v>
      </c>
      <c r="D307" s="17" t="s">
        <v>873</v>
      </c>
      <c r="E307" s="17" t="s">
        <v>892</v>
      </c>
      <c r="F307" s="19"/>
      <c r="G307" s="20">
        <v>1.0</v>
      </c>
      <c r="H307" s="21">
        <v>82.5</v>
      </c>
      <c r="I307" s="21">
        <v>70.0</v>
      </c>
      <c r="J307" s="22">
        <v>441.0</v>
      </c>
      <c r="K307" s="50"/>
      <c r="L307" s="21" t="str">
        <f>IF(K307&gt;0,K307*I307,"")</f>
      </c>
      <c r="M307" s="52"/>
      <c r="N307" t="str">
        <f>IF(K307&gt;0,COUNTIF($K$7:K307,"&gt;0"),"")</f>
      </c>
      <c r="O307" t="s">
        <v>897</v>
      </c>
      <c r="P307" t="s">
        <v>896</v>
      </c>
    </row>
    <row r="308" spans="1:16" customHeight="1" ht="58">
      <c r="A308" s="16"/>
      <c r="B308" s="18" t="s">
        <v>891</v>
      </c>
      <c r="C308" s="17" t="s">
        <v>29</v>
      </c>
      <c r="D308" s="17" t="s">
        <v>798</v>
      </c>
      <c r="E308" s="17" t="s">
        <v>892</v>
      </c>
      <c r="F308" s="19"/>
      <c r="G308" s="20">
        <v>1.0</v>
      </c>
      <c r="H308" s="21">
        <v>82.5</v>
      </c>
      <c r="I308" s="21">
        <v>70.0</v>
      </c>
      <c r="J308" s="22">
        <v>1351.0</v>
      </c>
      <c r="K308" s="50"/>
      <c r="L308" s="21" t="str">
        <f>IF(K308&gt;0,K308*I308,"")</f>
      </c>
      <c r="M308" s="52"/>
      <c r="N308" t="str">
        <f>IF(K308&gt;0,COUNTIF($K$7:K308,"&gt;0"),"")</f>
      </c>
      <c r="O308" t="s">
        <v>899</v>
      </c>
      <c r="P308" t="s">
        <v>898</v>
      </c>
    </row>
    <row r="309" spans="1:16" customHeight="1" ht="58">
      <c r="A309" s="16"/>
      <c r="B309" s="18" t="s">
        <v>891</v>
      </c>
      <c r="C309" s="17" t="s">
        <v>29</v>
      </c>
      <c r="D309" s="17" t="s">
        <v>795</v>
      </c>
      <c r="E309" s="17" t="s">
        <v>892</v>
      </c>
      <c r="F309" s="19"/>
      <c r="G309" s="20">
        <v>1.0</v>
      </c>
      <c r="H309" s="21">
        <v>82.5</v>
      </c>
      <c r="I309" s="21">
        <v>70.0</v>
      </c>
      <c r="J309" s="22">
        <v>1050.0</v>
      </c>
      <c r="K309" s="50"/>
      <c r="L309" s="21" t="str">
        <f>IF(K309&gt;0,K309*I309,"")</f>
      </c>
      <c r="M309" s="52"/>
      <c r="N309" t="str">
        <f>IF(K309&gt;0,COUNTIF($K$7:K309,"&gt;0"),"")</f>
      </c>
      <c r="O309" t="s">
        <v>901</v>
      </c>
      <c r="P309" t="s">
        <v>900</v>
      </c>
    </row>
    <row r="310" spans="1:16" customHeight="1" ht="58">
      <c r="A310" s="16"/>
      <c r="B310" s="18" t="s">
        <v>891</v>
      </c>
      <c r="C310" s="17" t="s">
        <v>29</v>
      </c>
      <c r="D310" s="17" t="s">
        <v>819</v>
      </c>
      <c r="E310" s="17" t="s">
        <v>892</v>
      </c>
      <c r="F310" s="19"/>
      <c r="G310" s="20">
        <v>1.0</v>
      </c>
      <c r="H310" s="21">
        <v>82.5</v>
      </c>
      <c r="I310" s="21">
        <v>70.0</v>
      </c>
      <c r="J310" s="22">
        <v>1704.0</v>
      </c>
      <c r="K310" s="50"/>
      <c r="L310" s="21" t="str">
        <f>IF(K310&gt;0,K310*I310,"")</f>
      </c>
      <c r="M310" s="52"/>
      <c r="N310" t="str">
        <f>IF(K310&gt;0,COUNTIF($K$7:K310,"&gt;0"),"")</f>
      </c>
      <c r="O310" t="s">
        <v>903</v>
      </c>
      <c r="P310" t="s">
        <v>902</v>
      </c>
    </row>
    <row r="311" spans="1:16" customHeight="1" ht="58">
      <c r="A311" s="16"/>
      <c r="B311" s="18" t="s">
        <v>891</v>
      </c>
      <c r="C311" s="17" t="s">
        <v>29</v>
      </c>
      <c r="D311" s="17" t="s">
        <v>810</v>
      </c>
      <c r="E311" s="17" t="s">
        <v>892</v>
      </c>
      <c r="F311" s="19"/>
      <c r="G311" s="20">
        <v>1.0</v>
      </c>
      <c r="H311" s="21">
        <v>82.5</v>
      </c>
      <c r="I311" s="21">
        <v>70.0</v>
      </c>
      <c r="J311" s="22">
        <v>1381.0</v>
      </c>
      <c r="K311" s="50"/>
      <c r="L311" s="21" t="str">
        <f>IF(K311&gt;0,K311*I311,"")</f>
      </c>
      <c r="M311" s="52"/>
      <c r="N311" t="str">
        <f>IF(K311&gt;0,COUNTIF($K$7:K311,"&gt;0"),"")</f>
      </c>
      <c r="O311" t="s">
        <v>905</v>
      </c>
      <c r="P311" t="s">
        <v>904</v>
      </c>
    </row>
    <row r="312" spans="1:16" customHeight="1" ht="58">
      <c r="A312" s="16"/>
      <c r="B312" s="18" t="s">
        <v>891</v>
      </c>
      <c r="C312" s="17" t="s">
        <v>29</v>
      </c>
      <c r="D312" s="17" t="s">
        <v>876</v>
      </c>
      <c r="E312" s="17" t="s">
        <v>892</v>
      </c>
      <c r="F312" s="19"/>
      <c r="G312" s="20">
        <v>1.0</v>
      </c>
      <c r="H312" s="21">
        <v>82.5</v>
      </c>
      <c r="I312" s="21">
        <v>70.0</v>
      </c>
      <c r="J312" s="22">
        <v>1103.0</v>
      </c>
      <c r="K312" s="50"/>
      <c r="L312" s="21" t="str">
        <f>IF(K312&gt;0,K312*I312,"")</f>
      </c>
      <c r="M312" s="52"/>
      <c r="N312" t="str">
        <f>IF(K312&gt;0,COUNTIF($K$7:K312,"&gt;0"),"")</f>
      </c>
      <c r="O312" t="s">
        <v>907</v>
      </c>
      <c r="P312" t="s">
        <v>906</v>
      </c>
    </row>
    <row r="313" spans="1:16" customHeight="1" ht="58">
      <c r="A313" s="16"/>
      <c r="B313" s="18" t="s">
        <v>891</v>
      </c>
      <c r="C313" s="17" t="s">
        <v>29</v>
      </c>
      <c r="D313" s="17" t="s">
        <v>816</v>
      </c>
      <c r="E313" s="17" t="s">
        <v>892</v>
      </c>
      <c r="F313" s="19"/>
      <c r="G313" s="20">
        <v>1.0</v>
      </c>
      <c r="H313" s="21">
        <v>82.5</v>
      </c>
      <c r="I313" s="21">
        <v>70.0</v>
      </c>
      <c r="J313" s="22">
        <v>504.0</v>
      </c>
      <c r="K313" s="50"/>
      <c r="L313" s="21" t="str">
        <f>IF(K313&gt;0,K313*I313,"")</f>
      </c>
      <c r="M313" s="52"/>
      <c r="N313" t="str">
        <f>IF(K313&gt;0,COUNTIF($K$7:K313,"&gt;0"),"")</f>
      </c>
      <c r="O313" t="s">
        <v>909</v>
      </c>
      <c r="P313" t="s">
        <v>908</v>
      </c>
    </row>
    <row r="314" spans="1:16" customHeight="1" ht="58">
      <c r="A314" s="16"/>
      <c r="B314" s="18" t="s">
        <v>891</v>
      </c>
      <c r="C314" s="17" t="s">
        <v>29</v>
      </c>
      <c r="D314" s="17" t="s">
        <v>807</v>
      </c>
      <c r="E314" s="17" t="s">
        <v>892</v>
      </c>
      <c r="F314" s="19"/>
      <c r="G314" s="20">
        <v>1.0</v>
      </c>
      <c r="H314" s="21">
        <v>82.5</v>
      </c>
      <c r="I314" s="21">
        <v>70.0</v>
      </c>
      <c r="J314" s="22">
        <v>1012.0</v>
      </c>
      <c r="K314" s="50"/>
      <c r="L314" s="21" t="str">
        <f>IF(K314&gt;0,K314*I314,"")</f>
      </c>
      <c r="M314" s="52"/>
      <c r="N314" t="str">
        <f>IF(K314&gt;0,COUNTIF($K$7:K314,"&gt;0"),"")</f>
      </c>
      <c r="O314" t="s">
        <v>911</v>
      </c>
      <c r="P314" t="s">
        <v>910</v>
      </c>
    </row>
    <row r="315" spans="1:16" customHeight="1" ht="58">
      <c r="A315" s="16"/>
      <c r="B315" s="18" t="s">
        <v>891</v>
      </c>
      <c r="C315" s="17" t="s">
        <v>29</v>
      </c>
      <c r="D315" s="17" t="s">
        <v>846</v>
      </c>
      <c r="E315" s="17" t="s">
        <v>892</v>
      </c>
      <c r="F315" s="19"/>
      <c r="G315" s="20">
        <v>1.0</v>
      </c>
      <c r="H315" s="21">
        <v>82.5</v>
      </c>
      <c r="I315" s="21">
        <v>70.0</v>
      </c>
      <c r="J315" s="22">
        <v>879.0</v>
      </c>
      <c r="K315" s="50"/>
      <c r="L315" s="21" t="str">
        <f>IF(K315&gt;0,K315*I315,"")</f>
      </c>
      <c r="M315" s="52"/>
      <c r="N315" t="str">
        <f>IF(K315&gt;0,COUNTIF($K$7:K315,"&gt;0"),"")</f>
      </c>
      <c r="O315" t="s">
        <v>913</v>
      </c>
      <c r="P315" t="s">
        <v>912</v>
      </c>
    </row>
    <row r="316" spans="1:16" customHeight="1" ht="58">
      <c r="A316" s="16"/>
      <c r="B316" s="18" t="s">
        <v>891</v>
      </c>
      <c r="C316" s="17" t="s">
        <v>29</v>
      </c>
      <c r="D316" s="17" t="s">
        <v>831</v>
      </c>
      <c r="E316" s="17" t="s">
        <v>892</v>
      </c>
      <c r="F316" s="19"/>
      <c r="G316" s="20">
        <v>1.0</v>
      </c>
      <c r="H316" s="21">
        <v>82.5</v>
      </c>
      <c r="I316" s="21">
        <v>70.0</v>
      </c>
      <c r="J316" s="22">
        <v>1432.0</v>
      </c>
      <c r="K316" s="50"/>
      <c r="L316" s="21" t="str">
        <f>IF(K316&gt;0,K316*I316,"")</f>
      </c>
      <c r="M316" s="52"/>
      <c r="N316" t="str">
        <f>IF(K316&gt;0,COUNTIF($K$7:K316,"&gt;0"),"")</f>
      </c>
      <c r="O316" t="s">
        <v>915</v>
      </c>
      <c r="P316" t="s">
        <v>914</v>
      </c>
    </row>
    <row r="317" spans="1:16" customHeight="1" ht="58">
      <c r="A317" s="16"/>
      <c r="B317" s="18" t="s">
        <v>891</v>
      </c>
      <c r="C317" s="17" t="s">
        <v>29</v>
      </c>
      <c r="D317" s="17" t="s">
        <v>843</v>
      </c>
      <c r="E317" s="17" t="s">
        <v>892</v>
      </c>
      <c r="F317" s="19"/>
      <c r="G317" s="20">
        <v>1.0</v>
      </c>
      <c r="H317" s="21">
        <v>82.5</v>
      </c>
      <c r="I317" s="21">
        <v>70.0</v>
      </c>
      <c r="J317" s="22">
        <v>1467.0</v>
      </c>
      <c r="K317" s="50"/>
      <c r="L317" s="21" t="str">
        <f>IF(K317&gt;0,K317*I317,"")</f>
      </c>
      <c r="M317" s="52"/>
      <c r="N317" t="str">
        <f>IF(K317&gt;0,COUNTIF($K$7:K317,"&gt;0"),"")</f>
      </c>
      <c r="O317" t="s">
        <v>917</v>
      </c>
      <c r="P317" t="s">
        <v>916</v>
      </c>
    </row>
    <row r="318" spans="1:16" customHeight="1" ht="58">
      <c r="A318" s="16"/>
      <c r="B318" s="18" t="s">
        <v>891</v>
      </c>
      <c r="C318" s="17" t="s">
        <v>29</v>
      </c>
      <c r="D318" s="17" t="s">
        <v>879</v>
      </c>
      <c r="E318" s="17" t="s">
        <v>892</v>
      </c>
      <c r="F318" s="19"/>
      <c r="G318" s="20">
        <v>1.0</v>
      </c>
      <c r="H318" s="21">
        <v>82.5</v>
      </c>
      <c r="I318" s="21">
        <v>70.0</v>
      </c>
      <c r="J318" s="22">
        <v>1530.0</v>
      </c>
      <c r="K318" s="50"/>
      <c r="L318" s="21" t="str">
        <f>IF(K318&gt;0,K318*I318,"")</f>
      </c>
      <c r="M318" s="52"/>
      <c r="N318" t="str">
        <f>IF(K318&gt;0,COUNTIF($K$7:K318,"&gt;0"),"")</f>
      </c>
      <c r="O318" t="s">
        <v>919</v>
      </c>
      <c r="P318" t="s">
        <v>918</v>
      </c>
    </row>
    <row r="319" spans="1:16" customHeight="1" ht="58">
      <c r="A319" s="16"/>
      <c r="B319" s="18" t="s">
        <v>891</v>
      </c>
      <c r="C319" s="17" t="s">
        <v>29</v>
      </c>
      <c r="D319" s="17" t="s">
        <v>840</v>
      </c>
      <c r="E319" s="17" t="s">
        <v>892</v>
      </c>
      <c r="F319" s="19"/>
      <c r="G319" s="20">
        <v>1.0</v>
      </c>
      <c r="H319" s="21">
        <v>82.5</v>
      </c>
      <c r="I319" s="21">
        <v>70.0</v>
      </c>
      <c r="J319" s="22">
        <v>1675.0</v>
      </c>
      <c r="K319" s="50"/>
      <c r="L319" s="21" t="str">
        <f>IF(K319&gt;0,K319*I319,"")</f>
      </c>
      <c r="M319" s="52"/>
      <c r="N319" t="str">
        <f>IF(K319&gt;0,COUNTIF($K$7:K319,"&gt;0"),"")</f>
      </c>
      <c r="O319" t="s">
        <v>921</v>
      </c>
      <c r="P319" t="s">
        <v>920</v>
      </c>
    </row>
    <row r="320" spans="1:16" customHeight="1" ht="58">
      <c r="A320" s="16"/>
      <c r="B320" s="18" t="s">
        <v>891</v>
      </c>
      <c r="C320" s="17" t="s">
        <v>29</v>
      </c>
      <c r="D320" s="17" t="s">
        <v>855</v>
      </c>
      <c r="E320" s="17" t="s">
        <v>892</v>
      </c>
      <c r="F320" s="19"/>
      <c r="G320" s="20">
        <v>1.0</v>
      </c>
      <c r="H320" s="21">
        <v>82.5</v>
      </c>
      <c r="I320" s="21">
        <v>70.0</v>
      </c>
      <c r="J320" s="22">
        <v>1761.0</v>
      </c>
      <c r="K320" s="50"/>
      <c r="L320" s="21" t="str">
        <f>IF(K320&gt;0,K320*I320,"")</f>
      </c>
      <c r="M320" s="52"/>
      <c r="N320" t="str">
        <f>IF(K320&gt;0,COUNTIF($K$7:K320,"&gt;0"),"")</f>
      </c>
      <c r="O320" t="s">
        <v>923</v>
      </c>
      <c r="P320" t="s">
        <v>922</v>
      </c>
    </row>
    <row r="321" spans="1:16" customHeight="1" ht="58">
      <c r="A321" s="16"/>
      <c r="B321" s="18" t="s">
        <v>891</v>
      </c>
      <c r="C321" s="17" t="s">
        <v>29</v>
      </c>
      <c r="D321" s="17" t="s">
        <v>825</v>
      </c>
      <c r="E321" s="17" t="s">
        <v>892</v>
      </c>
      <c r="F321" s="19"/>
      <c r="G321" s="20">
        <v>1.0</v>
      </c>
      <c r="H321" s="21">
        <v>82.5</v>
      </c>
      <c r="I321" s="21">
        <v>70.0</v>
      </c>
      <c r="J321" s="22">
        <v>1099.0</v>
      </c>
      <c r="K321" s="50"/>
      <c r="L321" s="21" t="str">
        <f>IF(K321&gt;0,K321*I321,"")</f>
      </c>
      <c r="M321" s="52"/>
      <c r="N321" t="str">
        <f>IF(K321&gt;0,COUNTIF($K$7:K321,"&gt;0"),"")</f>
      </c>
      <c r="O321" t="s">
        <v>925</v>
      </c>
      <c r="P321" t="s">
        <v>924</v>
      </c>
    </row>
    <row r="322" spans="1:16" customHeight="1" ht="58">
      <c r="A322" s="16"/>
      <c r="B322" s="18" t="s">
        <v>891</v>
      </c>
      <c r="C322" s="17" t="s">
        <v>29</v>
      </c>
      <c r="D322" s="17" t="s">
        <v>828</v>
      </c>
      <c r="E322" s="17" t="s">
        <v>892</v>
      </c>
      <c r="F322" s="19"/>
      <c r="G322" s="20">
        <v>1.0</v>
      </c>
      <c r="H322" s="21">
        <v>82.5</v>
      </c>
      <c r="I322" s="21">
        <v>70.0</v>
      </c>
      <c r="J322" s="22">
        <v>359.0</v>
      </c>
      <c r="K322" s="50"/>
      <c r="L322" s="21" t="str">
        <f>IF(K322&gt;0,K322*I322,"")</f>
      </c>
      <c r="M322" s="52"/>
      <c r="N322" t="str">
        <f>IF(K322&gt;0,COUNTIF($K$7:K322,"&gt;0"),"")</f>
      </c>
      <c r="O322" t="s">
        <v>927</v>
      </c>
      <c r="P322" t="s">
        <v>926</v>
      </c>
    </row>
    <row r="323" spans="1:16" customHeight="1" ht="58">
      <c r="A323" s="16"/>
      <c r="B323" s="18" t="s">
        <v>891</v>
      </c>
      <c r="C323" s="17" t="s">
        <v>29</v>
      </c>
      <c r="D323" s="17" t="s">
        <v>852</v>
      </c>
      <c r="E323" s="17" t="s">
        <v>892</v>
      </c>
      <c r="F323" s="19"/>
      <c r="G323" s="20">
        <v>1.0</v>
      </c>
      <c r="H323" s="21">
        <v>82.5</v>
      </c>
      <c r="I323" s="21">
        <v>70.0</v>
      </c>
      <c r="J323" s="22">
        <v>1947.0</v>
      </c>
      <c r="K323" s="50"/>
      <c r="L323" s="21" t="str">
        <f>IF(K323&gt;0,K323*I323,"")</f>
      </c>
      <c r="M323" s="52"/>
      <c r="N323" t="str">
        <f>IF(K323&gt;0,COUNTIF($K$7:K323,"&gt;0"),"")</f>
      </c>
      <c r="O323" t="s">
        <v>929</v>
      </c>
      <c r="P323" t="s">
        <v>928</v>
      </c>
    </row>
    <row r="324" spans="1:16" customHeight="1" ht="58">
      <c r="A324" s="16"/>
      <c r="B324" s="18" t="s">
        <v>891</v>
      </c>
      <c r="C324" s="17" t="s">
        <v>29</v>
      </c>
      <c r="D324" s="17" t="s">
        <v>870</v>
      </c>
      <c r="E324" s="17" t="s">
        <v>892</v>
      </c>
      <c r="F324" s="19"/>
      <c r="G324" s="20">
        <v>1.0</v>
      </c>
      <c r="H324" s="21">
        <v>82.5</v>
      </c>
      <c r="I324" s="21">
        <v>70.0</v>
      </c>
      <c r="J324" s="22">
        <v>818.0</v>
      </c>
      <c r="K324" s="50"/>
      <c r="L324" s="21" t="str">
        <f>IF(K324&gt;0,K324*I324,"")</f>
      </c>
      <c r="M324" s="52"/>
      <c r="N324" t="str">
        <f>IF(K324&gt;0,COUNTIF($K$7:K324,"&gt;0"),"")</f>
      </c>
      <c r="O324" t="s">
        <v>931</v>
      </c>
      <c r="P324" t="s">
        <v>930</v>
      </c>
    </row>
    <row r="325" spans="1:16" customHeight="1" ht="58">
      <c r="A325" s="16"/>
      <c r="B325" s="18" t="s">
        <v>891</v>
      </c>
      <c r="C325" s="17" t="s">
        <v>29</v>
      </c>
      <c r="D325" s="17" t="s">
        <v>867</v>
      </c>
      <c r="E325" s="17" t="s">
        <v>892</v>
      </c>
      <c r="F325" s="19"/>
      <c r="G325" s="20">
        <v>1.0</v>
      </c>
      <c r="H325" s="21">
        <v>82.5</v>
      </c>
      <c r="I325" s="21">
        <v>70.0</v>
      </c>
      <c r="J325" s="22">
        <v>1014.0</v>
      </c>
      <c r="K325" s="50"/>
      <c r="L325" s="21" t="str">
        <f>IF(K325&gt;0,K325*I325,"")</f>
      </c>
      <c r="M325" s="52"/>
      <c r="N325" t="str">
        <f>IF(K325&gt;0,COUNTIF($K$7:K325,"&gt;0"),"")</f>
      </c>
      <c r="O325" t="s">
        <v>933</v>
      </c>
      <c r="P325" t="s">
        <v>932</v>
      </c>
    </row>
    <row r="326" spans="1:16" customHeight="1" ht="58">
      <c r="A326" s="16"/>
      <c r="B326" s="18" t="s">
        <v>891</v>
      </c>
      <c r="C326" s="17" t="s">
        <v>29</v>
      </c>
      <c r="D326" s="17" t="s">
        <v>849</v>
      </c>
      <c r="E326" s="17" t="s">
        <v>892</v>
      </c>
      <c r="F326" s="19"/>
      <c r="G326" s="20">
        <v>1.0</v>
      </c>
      <c r="H326" s="21">
        <v>82.5</v>
      </c>
      <c r="I326" s="21">
        <v>70.0</v>
      </c>
      <c r="J326" s="22">
        <v>1225.0</v>
      </c>
      <c r="K326" s="50"/>
      <c r="L326" s="21" t="str">
        <f>IF(K326&gt;0,K326*I326,"")</f>
      </c>
      <c r="M326" s="52"/>
      <c r="N326" t="str">
        <f>IF(K326&gt;0,COUNTIF($K$7:K326,"&gt;0"),"")</f>
      </c>
      <c r="O326" t="s">
        <v>935</v>
      </c>
      <c r="P326" t="s">
        <v>934</v>
      </c>
    </row>
    <row r="327" spans="1:16" customHeight="1" ht="58">
      <c r="A327" s="16"/>
      <c r="B327" s="18" t="s">
        <v>891</v>
      </c>
      <c r="C327" s="17" t="s">
        <v>29</v>
      </c>
      <c r="D327" s="17" t="s">
        <v>858</v>
      </c>
      <c r="E327" s="17" t="s">
        <v>892</v>
      </c>
      <c r="F327" s="19"/>
      <c r="G327" s="20">
        <v>1.0</v>
      </c>
      <c r="H327" s="21">
        <v>82.5</v>
      </c>
      <c r="I327" s="21">
        <v>70.0</v>
      </c>
      <c r="J327" s="22">
        <v>611.0</v>
      </c>
      <c r="K327" s="50"/>
      <c r="L327" s="21" t="str">
        <f>IF(K327&gt;0,K327*I327,"")</f>
      </c>
      <c r="M327" s="52"/>
      <c r="N327" t="str">
        <f>IF(K327&gt;0,COUNTIF($K$7:K327,"&gt;0"),"")</f>
      </c>
      <c r="O327" t="s">
        <v>937</v>
      </c>
      <c r="P327" t="s">
        <v>936</v>
      </c>
    </row>
    <row r="328" spans="1:16" customHeight="1" ht="58">
      <c r="A328" s="16"/>
      <c r="B328" s="18" t="s">
        <v>891</v>
      </c>
      <c r="C328" s="17" t="s">
        <v>29</v>
      </c>
      <c r="D328" s="17" t="s">
        <v>791</v>
      </c>
      <c r="E328" s="17" t="s">
        <v>892</v>
      </c>
      <c r="F328" s="19"/>
      <c r="G328" s="20">
        <v>1.0</v>
      </c>
      <c r="H328" s="21">
        <v>82.5</v>
      </c>
      <c r="I328" s="21">
        <v>70.0</v>
      </c>
      <c r="J328" s="22">
        <v>1055.0</v>
      </c>
      <c r="K328" s="50"/>
      <c r="L328" s="21" t="str">
        <f>IF(K328&gt;0,K328*I328,"")</f>
      </c>
      <c r="M328" s="52"/>
      <c r="N328" t="str">
        <f>IF(K328&gt;0,COUNTIF($K$7:K328,"&gt;0"),"")</f>
      </c>
      <c r="O328" t="s">
        <v>939</v>
      </c>
      <c r="P328" t="s">
        <v>938</v>
      </c>
    </row>
    <row r="329" spans="1:16" customHeight="1" ht="58">
      <c r="A329" s="16"/>
      <c r="B329" s="18" t="s">
        <v>891</v>
      </c>
      <c r="C329" s="17" t="s">
        <v>29</v>
      </c>
      <c r="D329" s="17" t="s">
        <v>801</v>
      </c>
      <c r="E329" s="17" t="s">
        <v>892</v>
      </c>
      <c r="F329" s="19"/>
      <c r="G329" s="20">
        <v>1.0</v>
      </c>
      <c r="H329" s="21">
        <v>82.5</v>
      </c>
      <c r="I329" s="21">
        <v>70.0</v>
      </c>
      <c r="J329" s="22">
        <v>1281.0</v>
      </c>
      <c r="K329" s="50"/>
      <c r="L329" s="21" t="str">
        <f>IF(K329&gt;0,K329*I329,"")</f>
      </c>
      <c r="M329" s="52"/>
      <c r="N329" t="str">
        <f>IF(K329&gt;0,COUNTIF($K$7:K329,"&gt;0"),"")</f>
      </c>
      <c r="O329" t="s">
        <v>941</v>
      </c>
      <c r="P329" t="s">
        <v>940</v>
      </c>
    </row>
    <row r="330" spans="1:16" customHeight="1" ht="58">
      <c r="A330" s="16"/>
      <c r="B330" s="18" t="s">
        <v>891</v>
      </c>
      <c r="C330" s="17" t="s">
        <v>29</v>
      </c>
      <c r="D330" s="17" t="s">
        <v>837</v>
      </c>
      <c r="E330" s="17" t="s">
        <v>892</v>
      </c>
      <c r="F330" s="19"/>
      <c r="G330" s="20">
        <v>1.0</v>
      </c>
      <c r="H330" s="21">
        <v>82.5</v>
      </c>
      <c r="I330" s="21">
        <v>70.0</v>
      </c>
      <c r="J330" s="22">
        <v>2577.0</v>
      </c>
      <c r="K330" s="50"/>
      <c r="L330" s="21" t="str">
        <f>IF(K330&gt;0,K330*I330,"")</f>
      </c>
      <c r="M330" s="52"/>
      <c r="N330" t="str">
        <f>IF(K330&gt;0,COUNTIF($K$7:K330,"&gt;0"),"")</f>
      </c>
      <c r="O330" t="s">
        <v>943</v>
      </c>
      <c r="P330" t="s">
        <v>942</v>
      </c>
    </row>
    <row r="331" spans="1:16" customHeight="1" ht="58">
      <c r="A331" s="16"/>
      <c r="B331" s="18" t="s">
        <v>945</v>
      </c>
      <c r="C331" s="17" t="s">
        <v>29</v>
      </c>
      <c r="D331" s="17" t="s">
        <v>883</v>
      </c>
      <c r="E331" s="17" t="s">
        <v>946</v>
      </c>
      <c r="F331" s="19"/>
      <c r="G331" s="20">
        <v>1.0</v>
      </c>
      <c r="H331" s="21">
        <v>154.0</v>
      </c>
      <c r="I331" s="21"/>
      <c r="J331" s="22">
        <v>28.0</v>
      </c>
      <c r="K331" s="50"/>
      <c r="L331" s="21" t="str">
        <f>IF(K331&gt;0,"по запросу","")</f>
      </c>
      <c r="M331" s="52"/>
      <c r="N331" t="str">
        <f>IF(K331&gt;0,COUNTIF($K$7:K331,"&gt;0"),"")</f>
      </c>
      <c r="P331" t="s">
        <v>944</v>
      </c>
    </row>
    <row r="332" spans="1:16" customHeight="1" ht="58">
      <c r="A332" s="16"/>
      <c r="B332" s="18" t="s">
        <v>948</v>
      </c>
      <c r="C332" s="17" t="s">
        <v>29</v>
      </c>
      <c r="D332" s="17" t="s">
        <v>883</v>
      </c>
      <c r="E332" s="17" t="s">
        <v>949</v>
      </c>
      <c r="F332" s="19"/>
      <c r="G332" s="20">
        <v>1.0</v>
      </c>
      <c r="H332" s="21">
        <v>154.0</v>
      </c>
      <c r="I332" s="21">
        <v>96.0</v>
      </c>
      <c r="J332" s="22">
        <v>34.0</v>
      </c>
      <c r="K332" s="50"/>
      <c r="L332" s="21" t="str">
        <f>IF(K332&gt;0,K332*I332,"")</f>
      </c>
      <c r="M332" s="52"/>
      <c r="N332" t="str">
        <f>IF(K332&gt;0,COUNTIF($K$7:K332,"&gt;0"),"")</f>
      </c>
      <c r="O332" t="s">
        <v>950</v>
      </c>
      <c r="P332" t="s">
        <v>947</v>
      </c>
    </row>
    <row r="333" spans="1:16" customHeight="1" ht="58">
      <c r="A333" s="16"/>
      <c r="B333" s="18" t="s">
        <v>952</v>
      </c>
      <c r="C333" s="17" t="s">
        <v>29</v>
      </c>
      <c r="D333" s="17" t="s">
        <v>883</v>
      </c>
      <c r="E333" s="17" t="s">
        <v>953</v>
      </c>
      <c r="F333" s="19"/>
      <c r="G333" s="20">
        <v>1.0</v>
      </c>
      <c r="H333" s="21">
        <v>154.0</v>
      </c>
      <c r="I333" s="21">
        <v>96.0</v>
      </c>
      <c r="J333" s="22">
        <v>22.0</v>
      </c>
      <c r="K333" s="50"/>
      <c r="L333" s="21" t="str">
        <f>IF(K333&gt;0,K333*I333,"")</f>
      </c>
      <c r="M333" s="52"/>
      <c r="N333" t="str">
        <f>IF(K333&gt;0,COUNTIF($K$7:K333,"&gt;0"),"")</f>
      </c>
      <c r="O333" t="s">
        <v>954</v>
      </c>
      <c r="P333" t="s">
        <v>951</v>
      </c>
    </row>
    <row r="334" spans="1:16" customHeight="1" ht="58">
      <c r="A334" s="16"/>
      <c r="B334" s="18" t="s">
        <v>956</v>
      </c>
      <c r="C334" s="17" t="s">
        <v>29</v>
      </c>
      <c r="D334" s="17" t="s">
        <v>883</v>
      </c>
      <c r="E334" s="17" t="s">
        <v>957</v>
      </c>
      <c r="F334" s="19"/>
      <c r="G334" s="20">
        <v>1.0</v>
      </c>
      <c r="H334" s="21">
        <v>154.0</v>
      </c>
      <c r="I334" s="21">
        <v>96.0</v>
      </c>
      <c r="J334" s="22">
        <v>7.0</v>
      </c>
      <c r="K334" s="50"/>
      <c r="L334" s="21" t="str">
        <f>IF(K334&gt;0,K334*I334,"")</f>
      </c>
      <c r="M334" s="52"/>
      <c r="N334" t="str">
        <f>IF(K334&gt;0,COUNTIF($K$7:K334,"&gt;0"),"")</f>
      </c>
      <c r="O334" t="s">
        <v>958</v>
      </c>
      <c r="P334" t="s">
        <v>955</v>
      </c>
    </row>
    <row r="335" spans="1:16" customHeight="1" ht="58">
      <c r="A335" s="16"/>
      <c r="B335" s="18" t="s">
        <v>960</v>
      </c>
      <c r="C335" s="17" t="s">
        <v>29</v>
      </c>
      <c r="D335" s="17" t="s">
        <v>883</v>
      </c>
      <c r="E335" s="17" t="s">
        <v>961</v>
      </c>
      <c r="F335" s="19"/>
      <c r="G335" s="20">
        <v>1.0</v>
      </c>
      <c r="H335" s="21">
        <v>154.0</v>
      </c>
      <c r="I335" s="21">
        <v>96.0</v>
      </c>
      <c r="J335" s="22">
        <v>5.0</v>
      </c>
      <c r="K335" s="50"/>
      <c r="L335" s="21" t="str">
        <f>IF(K335&gt;0,K335*I335,"")</f>
      </c>
      <c r="M335" s="52"/>
      <c r="N335" t="str">
        <f>IF(K335&gt;0,COUNTIF($K$7:K335,"&gt;0"),"")</f>
      </c>
      <c r="O335" t="s">
        <v>962</v>
      </c>
      <c r="P335" t="s">
        <v>959</v>
      </c>
    </row>
    <row r="336" spans="1:16" customHeight="1" ht="58">
      <c r="A336" s="16"/>
      <c r="B336" s="18" t="s">
        <v>964</v>
      </c>
      <c r="C336" s="17" t="s">
        <v>29</v>
      </c>
      <c r="D336" s="17" t="s">
        <v>883</v>
      </c>
      <c r="E336" s="17" t="s">
        <v>965</v>
      </c>
      <c r="F336" s="19"/>
      <c r="G336" s="20">
        <v>1.0</v>
      </c>
      <c r="H336" s="21">
        <v>154.0</v>
      </c>
      <c r="I336" s="21">
        <v>96.0</v>
      </c>
      <c r="J336" s="22">
        <v>37.0</v>
      </c>
      <c r="K336" s="50"/>
      <c r="L336" s="21" t="str">
        <f>IF(K336&gt;0,K336*I336,"")</f>
      </c>
      <c r="M336" s="52"/>
      <c r="N336" t="str">
        <f>IF(K336&gt;0,COUNTIF($K$7:K336,"&gt;0"),"")</f>
      </c>
      <c r="O336" t="s">
        <v>966</v>
      </c>
      <c r="P336" t="s">
        <v>963</v>
      </c>
    </row>
    <row r="337" spans="1:16" customHeight="1" ht="58">
      <c r="A337" s="16"/>
      <c r="B337" s="18" t="s">
        <v>968</v>
      </c>
      <c r="C337" s="17" t="s">
        <v>29</v>
      </c>
      <c r="D337" s="17" t="s">
        <v>883</v>
      </c>
      <c r="E337" s="17" t="s">
        <v>969</v>
      </c>
      <c r="F337" s="19"/>
      <c r="G337" s="20">
        <v>1.0</v>
      </c>
      <c r="H337" s="21">
        <v>154.0</v>
      </c>
      <c r="I337" s="21">
        <v>96.0</v>
      </c>
      <c r="J337" s="22">
        <v>20.0</v>
      </c>
      <c r="K337" s="50"/>
      <c r="L337" s="21" t="str">
        <f>IF(K337&gt;0,K337*I337,"")</f>
      </c>
      <c r="M337" s="52"/>
      <c r="N337" t="str">
        <f>IF(K337&gt;0,COUNTIF($K$7:K337,"&gt;0"),"")</f>
      </c>
      <c r="O337" t="s">
        <v>970</v>
      </c>
      <c r="P337" t="s">
        <v>967</v>
      </c>
    </row>
    <row r="338" spans="1:16" customHeight="1" ht="58">
      <c r="A338" s="16"/>
      <c r="B338" s="18" t="s">
        <v>972</v>
      </c>
      <c r="C338" s="17" t="s">
        <v>29</v>
      </c>
      <c r="D338" s="17" t="s">
        <v>883</v>
      </c>
      <c r="E338" s="17" t="s">
        <v>973</v>
      </c>
      <c r="F338" s="19"/>
      <c r="G338" s="20">
        <v>1.0</v>
      </c>
      <c r="H338" s="21">
        <v>154.0</v>
      </c>
      <c r="I338" s="21"/>
      <c r="J338" s="22">
        <v>3.0</v>
      </c>
      <c r="K338" s="50"/>
      <c r="L338" s="21" t="str">
        <f>IF(K338&gt;0,"по запросу","")</f>
      </c>
      <c r="M338" s="52"/>
      <c r="N338" t="str">
        <f>IF(K338&gt;0,COUNTIF($K$7:K338,"&gt;0"),"")</f>
      </c>
      <c r="P338" t="s">
        <v>971</v>
      </c>
    </row>
    <row r="339" spans="1:16" customHeight="1" ht="58">
      <c r="A339" s="16"/>
      <c r="B339" s="18" t="s">
        <v>975</v>
      </c>
      <c r="C339" s="17" t="s">
        <v>29</v>
      </c>
      <c r="D339" s="17" t="s">
        <v>883</v>
      </c>
      <c r="E339" s="17" t="s">
        <v>976</v>
      </c>
      <c r="F339" s="19"/>
      <c r="G339" s="20">
        <v>1.0</v>
      </c>
      <c r="H339" s="21">
        <v>154.0</v>
      </c>
      <c r="I339" s="21">
        <v>96.0</v>
      </c>
      <c r="J339" s="22">
        <v>277.0</v>
      </c>
      <c r="K339" s="50"/>
      <c r="L339" s="21" t="str">
        <f>IF(K339&gt;0,K339*I339,"")</f>
      </c>
      <c r="M339" s="52"/>
      <c r="N339" t="str">
        <f>IF(K339&gt;0,COUNTIF($K$7:K339,"&gt;0"),"")</f>
      </c>
      <c r="O339" t="s">
        <v>977</v>
      </c>
      <c r="P339" t="s">
        <v>974</v>
      </c>
    </row>
    <row r="340" spans="1:16" customHeight="1" ht="58">
      <c r="A340" s="16"/>
      <c r="B340" s="18" t="s">
        <v>979</v>
      </c>
      <c r="C340" s="17" t="s">
        <v>980</v>
      </c>
      <c r="D340" s="17" t="s">
        <v>981</v>
      </c>
      <c r="E340" s="17" t="s">
        <v>982</v>
      </c>
      <c r="F340" s="19"/>
      <c r="G340" s="20">
        <v>1.0</v>
      </c>
      <c r="H340" s="21">
        <v>104.5</v>
      </c>
      <c r="I340" s="21">
        <v>101.0</v>
      </c>
      <c r="J340" s="22">
        <v>1561.0</v>
      </c>
      <c r="K340" s="50"/>
      <c r="L340" s="21" t="str">
        <f>IF(K340&gt;0,K340*I340,"")</f>
      </c>
      <c r="M340" s="52"/>
      <c r="N340" t="str">
        <f>IF(K340&gt;0,COUNTIF($K$7:K340,"&gt;0"),"")</f>
      </c>
      <c r="O340" t="s">
        <v>983</v>
      </c>
      <c r="P340" t="s">
        <v>978</v>
      </c>
    </row>
    <row r="341" spans="1:16" customHeight="1" ht="58">
      <c r="A341" s="16"/>
      <c r="B341" s="18" t="s">
        <v>985</v>
      </c>
      <c r="C341" s="17" t="s">
        <v>980</v>
      </c>
      <c r="D341" s="17" t="s">
        <v>981</v>
      </c>
      <c r="E341" s="17" t="s">
        <v>986</v>
      </c>
      <c r="F341" s="19"/>
      <c r="G341" s="20">
        <v>1.0</v>
      </c>
      <c r="H341" s="21">
        <v>176.0</v>
      </c>
      <c r="I341" s="21">
        <v>171.0</v>
      </c>
      <c r="J341" s="22">
        <v>1332.0</v>
      </c>
      <c r="K341" s="50"/>
      <c r="L341" s="21" t="str">
        <f>IF(K341&gt;0,K341*I341,"")</f>
      </c>
      <c r="M341" s="52"/>
      <c r="N341" t="str">
        <f>IF(K341&gt;0,COUNTIF($K$7:K341,"&gt;0"),"")</f>
      </c>
      <c r="O341" t="s">
        <v>987</v>
      </c>
      <c r="P341" t="s">
        <v>984</v>
      </c>
    </row>
    <row r="342" spans="1:16" customHeight="1" ht="24">
      <c r="A342" s="23" t="s">
        <v>988</v>
      </c>
      <c r="B342" s="24"/>
      <c r="C342" s="25"/>
      <c r="D342" s="25"/>
      <c r="E342" s="25"/>
      <c r="F342" s="26"/>
      <c r="G342" s="27"/>
      <c r="H342" s="28"/>
      <c r="I342" s="28"/>
      <c r="J342" s="29"/>
      <c r="K342" s="49"/>
      <c r="L342" s="28"/>
      <c r="M342" s="51"/>
      <c r="N342" t="str">
        <f>IF(K342&gt;0,COUNTIF($K$7:K342,"&gt;0"),"")</f>
      </c>
    </row>
    <row r="343" spans="1:16" customHeight="1" ht="58">
      <c r="A343" s="16"/>
      <c r="B343" s="18" t="s">
        <v>990</v>
      </c>
      <c r="C343" s="17" t="s">
        <v>29</v>
      </c>
      <c r="D343" s="17" t="s">
        <v>991</v>
      </c>
      <c r="E343" s="17" t="s">
        <v>992</v>
      </c>
      <c r="F343" s="19"/>
      <c r="G343" s="20">
        <v>1.0</v>
      </c>
      <c r="H343" s="21">
        <v>429.0</v>
      </c>
      <c r="I343" s="21">
        <v>266.0</v>
      </c>
      <c r="J343" s="22">
        <v>27.0</v>
      </c>
      <c r="K343" s="50"/>
      <c r="L343" s="21" t="str">
        <f>IF(K343&gt;0,K343*I343,"")</f>
      </c>
      <c r="M343" s="52"/>
      <c r="N343" t="str">
        <f>IF(K343&gt;0,COUNTIF($K$7:K343,"&gt;0"),"")</f>
      </c>
      <c r="O343" t="s">
        <v>993</v>
      </c>
      <c r="P343" t="s">
        <v>989</v>
      </c>
    </row>
    <row r="344" spans="1:16" customHeight="1" ht="58">
      <c r="A344" s="16"/>
      <c r="B344" s="18" t="s">
        <v>995</v>
      </c>
      <c r="C344" s="17" t="s">
        <v>29</v>
      </c>
      <c r="D344" s="17" t="s">
        <v>996</v>
      </c>
      <c r="E344" s="17"/>
      <c r="F344" s="19"/>
      <c r="G344" s="20">
        <v>1.0</v>
      </c>
      <c r="H344" s="21">
        <v>154.0</v>
      </c>
      <c r="I344" s="21">
        <v>93.0</v>
      </c>
      <c r="J344" s="22">
        <v>52.0</v>
      </c>
      <c r="K344" s="50"/>
      <c r="L344" s="21" t="str">
        <f>IF(K344&gt;0,K344*I344,"")</f>
      </c>
      <c r="M344" s="52"/>
      <c r="N344" t="str">
        <f>IF(K344&gt;0,COUNTIF($K$7:K344,"&gt;0"),"")</f>
      </c>
      <c r="O344" t="s">
        <v>997</v>
      </c>
      <c r="P344" t="s">
        <v>994</v>
      </c>
    </row>
    <row r="345" spans="1:16" customHeight="1" ht="58">
      <c r="A345" s="16"/>
      <c r="B345" s="18" t="s">
        <v>999</v>
      </c>
      <c r="C345" s="17" t="s">
        <v>1000</v>
      </c>
      <c r="D345" s="17" t="s">
        <v>1001</v>
      </c>
      <c r="E345" s="17" t="s">
        <v>1002</v>
      </c>
      <c r="F345" s="19"/>
      <c r="G345" s="20">
        <v>1.0</v>
      </c>
      <c r="H345" s="21">
        <v>418.0</v>
      </c>
      <c r="I345" s="21">
        <v>267.0</v>
      </c>
      <c r="J345" s="22">
        <v>23.0</v>
      </c>
      <c r="K345" s="50"/>
      <c r="L345" s="21" t="str">
        <f>IF(K345&gt;0,K345*I345,"")</f>
      </c>
      <c r="M345" s="52"/>
      <c r="N345" t="str">
        <f>IF(K345&gt;0,COUNTIF($K$7:K345,"&gt;0"),"")</f>
      </c>
      <c r="O345" t="s">
        <v>1003</v>
      </c>
      <c r="P345" t="s">
        <v>998</v>
      </c>
    </row>
    <row r="346" spans="1:16" customHeight="1" ht="58">
      <c r="A346" s="16"/>
      <c r="B346" s="18" t="s">
        <v>1005</v>
      </c>
      <c r="C346" s="17" t="s">
        <v>1000</v>
      </c>
      <c r="D346" s="17" t="s">
        <v>1006</v>
      </c>
      <c r="E346" s="17" t="s">
        <v>1007</v>
      </c>
      <c r="F346" s="19"/>
      <c r="G346" s="20">
        <v>1.0</v>
      </c>
      <c r="H346" s="21">
        <v>456.5</v>
      </c>
      <c r="I346" s="21">
        <v>294.0</v>
      </c>
      <c r="J346" s="22">
        <v>30.0</v>
      </c>
      <c r="K346" s="50"/>
      <c r="L346" s="21" t="str">
        <f>IF(K346&gt;0,K346*I346,"")</f>
      </c>
      <c r="M346" s="52"/>
      <c r="N346" t="str">
        <f>IF(K346&gt;0,COUNTIF($K$7:K346,"&gt;0"),"")</f>
      </c>
      <c r="O346" t="s">
        <v>1008</v>
      </c>
      <c r="P346" t="s">
        <v>1004</v>
      </c>
    </row>
    <row r="347" spans="1:16" customHeight="1" ht="58">
      <c r="A347" s="16"/>
      <c r="B347" s="18" t="s">
        <v>1010</v>
      </c>
      <c r="C347" s="17" t="s">
        <v>1000</v>
      </c>
      <c r="D347" s="17" t="s">
        <v>1011</v>
      </c>
      <c r="E347" s="17" t="s">
        <v>986</v>
      </c>
      <c r="F347" s="19"/>
      <c r="G347" s="20">
        <v>1.0</v>
      </c>
      <c r="H347" s="21">
        <v>99.0</v>
      </c>
      <c r="I347" s="21">
        <v>62.0</v>
      </c>
      <c r="J347" s="22">
        <v>283.0</v>
      </c>
      <c r="K347" s="50"/>
      <c r="L347" s="21" t="str">
        <f>IF(K347&gt;0,K347*I347,"")</f>
      </c>
      <c r="M347" s="52"/>
      <c r="N347" t="str">
        <f>IF(K347&gt;0,COUNTIF($K$7:K347,"&gt;0"),"")</f>
      </c>
      <c r="O347" t="s">
        <v>1012</v>
      </c>
      <c r="P347" t="s">
        <v>1009</v>
      </c>
    </row>
    <row r="348" spans="1:16" customHeight="1" ht="58">
      <c r="A348" s="16"/>
      <c r="B348" s="18" t="s">
        <v>1010</v>
      </c>
      <c r="C348" s="17" t="s">
        <v>1000</v>
      </c>
      <c r="D348" s="17" t="s">
        <v>1014</v>
      </c>
      <c r="E348" s="17" t="s">
        <v>986</v>
      </c>
      <c r="F348" s="19"/>
      <c r="G348" s="20">
        <v>1.0</v>
      </c>
      <c r="H348" s="21">
        <v>99.0</v>
      </c>
      <c r="I348" s="21">
        <v>62.0</v>
      </c>
      <c r="J348" s="22">
        <v>1211.0</v>
      </c>
      <c r="K348" s="50"/>
      <c r="L348" s="21" t="str">
        <f>IF(K348&gt;0,K348*I348,"")</f>
      </c>
      <c r="M348" s="52"/>
      <c r="N348" t="str">
        <f>IF(K348&gt;0,COUNTIF($K$7:K348,"&gt;0"),"")</f>
      </c>
      <c r="O348" t="s">
        <v>1015</v>
      </c>
      <c r="P348" t="s">
        <v>1013</v>
      </c>
    </row>
    <row r="349" spans="1:16" customHeight="1" ht="58">
      <c r="A349" s="16"/>
      <c r="B349" s="18" t="s">
        <v>1010</v>
      </c>
      <c r="C349" s="17" t="s">
        <v>1000</v>
      </c>
      <c r="D349" s="17" t="s">
        <v>1017</v>
      </c>
      <c r="E349" s="17" t="s">
        <v>986</v>
      </c>
      <c r="F349" s="19"/>
      <c r="G349" s="20">
        <v>1.0</v>
      </c>
      <c r="H349" s="21">
        <v>99.0</v>
      </c>
      <c r="I349" s="21">
        <v>62.0</v>
      </c>
      <c r="J349" s="22">
        <v>530.0</v>
      </c>
      <c r="K349" s="50"/>
      <c r="L349" s="21" t="str">
        <f>IF(K349&gt;0,K349*I349,"")</f>
      </c>
      <c r="M349" s="52"/>
      <c r="N349" t="str">
        <f>IF(K349&gt;0,COUNTIF($K$7:K349,"&gt;0"),"")</f>
      </c>
      <c r="O349" t="s">
        <v>1018</v>
      </c>
      <c r="P349" t="s">
        <v>1016</v>
      </c>
    </row>
    <row r="350" spans="1:16" customHeight="1" ht="58">
      <c r="A350" s="16"/>
      <c r="B350" s="18" t="s">
        <v>1010</v>
      </c>
      <c r="C350" s="17" t="s">
        <v>1000</v>
      </c>
      <c r="D350" s="17" t="s">
        <v>1020</v>
      </c>
      <c r="E350" s="17" t="s">
        <v>986</v>
      </c>
      <c r="F350" s="19"/>
      <c r="G350" s="20">
        <v>1.0</v>
      </c>
      <c r="H350" s="21">
        <v>99.0</v>
      </c>
      <c r="I350" s="21">
        <v>62.0</v>
      </c>
      <c r="J350" s="22">
        <v>57.0</v>
      </c>
      <c r="K350" s="50"/>
      <c r="L350" s="21" t="str">
        <f>IF(K350&gt;0,K350*I350,"")</f>
      </c>
      <c r="M350" s="52"/>
      <c r="N350" t="str">
        <f>IF(K350&gt;0,COUNTIF($K$7:K350,"&gt;0"),"")</f>
      </c>
      <c r="O350" t="s">
        <v>1021</v>
      </c>
      <c r="P350" t="s">
        <v>1019</v>
      </c>
    </row>
    <row r="351" spans="1:16" customHeight="1" ht="58">
      <c r="A351" s="16"/>
      <c r="B351" s="18" t="s">
        <v>1010</v>
      </c>
      <c r="C351" s="17" t="s">
        <v>1000</v>
      </c>
      <c r="D351" s="17" t="s">
        <v>1023</v>
      </c>
      <c r="E351" s="17" t="s">
        <v>986</v>
      </c>
      <c r="F351" s="19"/>
      <c r="G351" s="20">
        <v>1.0</v>
      </c>
      <c r="H351" s="21">
        <v>99.0</v>
      </c>
      <c r="I351" s="21">
        <v>62.0</v>
      </c>
      <c r="J351" s="22">
        <v>322.0</v>
      </c>
      <c r="K351" s="50"/>
      <c r="L351" s="21" t="str">
        <f>IF(K351&gt;0,K351*I351,"")</f>
      </c>
      <c r="M351" s="52"/>
      <c r="N351" t="str">
        <f>IF(K351&gt;0,COUNTIF($K$7:K351,"&gt;0"),"")</f>
      </c>
      <c r="O351" t="s">
        <v>1024</v>
      </c>
      <c r="P351" t="s">
        <v>1022</v>
      </c>
    </row>
    <row r="352" spans="1:16" customHeight="1" ht="58">
      <c r="A352" s="16"/>
      <c r="B352" s="18" t="s">
        <v>1010</v>
      </c>
      <c r="C352" s="17" t="s">
        <v>1000</v>
      </c>
      <c r="D352" s="17" t="s">
        <v>1026</v>
      </c>
      <c r="E352" s="17" t="s">
        <v>986</v>
      </c>
      <c r="F352" s="19"/>
      <c r="G352" s="20">
        <v>1.0</v>
      </c>
      <c r="H352" s="21">
        <v>99.0</v>
      </c>
      <c r="I352" s="21">
        <v>62.0</v>
      </c>
      <c r="J352" s="22">
        <v>173.0</v>
      </c>
      <c r="K352" s="50"/>
      <c r="L352" s="21" t="str">
        <f>IF(K352&gt;0,K352*I352,"")</f>
      </c>
      <c r="M352" s="52"/>
      <c r="N352" t="str">
        <f>IF(K352&gt;0,COUNTIF($K$7:K352,"&gt;0"),"")</f>
      </c>
      <c r="O352" t="s">
        <v>1027</v>
      </c>
      <c r="P352" t="s">
        <v>1025</v>
      </c>
    </row>
    <row r="353" spans="1:16" customHeight="1" ht="58">
      <c r="A353" s="16"/>
      <c r="B353" s="18" t="s">
        <v>1010</v>
      </c>
      <c r="C353" s="17" t="s">
        <v>1000</v>
      </c>
      <c r="D353" s="17" t="s">
        <v>1029</v>
      </c>
      <c r="E353" s="17" t="s">
        <v>986</v>
      </c>
      <c r="F353" s="19"/>
      <c r="G353" s="20">
        <v>1.0</v>
      </c>
      <c r="H353" s="21">
        <v>99.0</v>
      </c>
      <c r="I353" s="21">
        <v>62.0</v>
      </c>
      <c r="J353" s="22">
        <v>256.0</v>
      </c>
      <c r="K353" s="50"/>
      <c r="L353" s="21" t="str">
        <f>IF(K353&gt;0,K353*I353,"")</f>
      </c>
      <c r="M353" s="52"/>
      <c r="N353" t="str">
        <f>IF(K353&gt;0,COUNTIF($K$7:K353,"&gt;0"),"")</f>
      </c>
      <c r="O353" t="s">
        <v>1030</v>
      </c>
      <c r="P353" t="s">
        <v>1028</v>
      </c>
    </row>
    <row r="354" spans="1:16" customHeight="1" ht="58">
      <c r="A354" s="16"/>
      <c r="B354" s="18" t="s">
        <v>1010</v>
      </c>
      <c r="C354" s="17" t="s">
        <v>1000</v>
      </c>
      <c r="D354" s="17" t="s">
        <v>1032</v>
      </c>
      <c r="E354" s="17" t="s">
        <v>986</v>
      </c>
      <c r="F354" s="19"/>
      <c r="G354" s="20">
        <v>1.0</v>
      </c>
      <c r="H354" s="21">
        <v>99.0</v>
      </c>
      <c r="I354" s="21">
        <v>62.0</v>
      </c>
      <c r="J354" s="22">
        <v>586.0</v>
      </c>
      <c r="K354" s="50"/>
      <c r="L354" s="21" t="str">
        <f>IF(K354&gt;0,K354*I354,"")</f>
      </c>
      <c r="M354" s="52"/>
      <c r="N354" t="str">
        <f>IF(K354&gt;0,COUNTIF($K$7:K354,"&gt;0"),"")</f>
      </c>
      <c r="O354" t="s">
        <v>1033</v>
      </c>
      <c r="P354" t="s">
        <v>1031</v>
      </c>
    </row>
    <row r="355" spans="1:16" customHeight="1" ht="58">
      <c r="A355" s="16"/>
      <c r="B355" s="18" t="s">
        <v>1010</v>
      </c>
      <c r="C355" s="17" t="s">
        <v>1000</v>
      </c>
      <c r="D355" s="17" t="s">
        <v>1035</v>
      </c>
      <c r="E355" s="17" t="s">
        <v>986</v>
      </c>
      <c r="F355" s="19"/>
      <c r="G355" s="20">
        <v>1.0</v>
      </c>
      <c r="H355" s="21">
        <v>99.0</v>
      </c>
      <c r="I355" s="21">
        <v>62.0</v>
      </c>
      <c r="J355" s="22">
        <v>358.0</v>
      </c>
      <c r="K355" s="50"/>
      <c r="L355" s="21" t="str">
        <f>IF(K355&gt;0,K355*I355,"")</f>
      </c>
      <c r="M355" s="52"/>
      <c r="N355" t="str">
        <f>IF(K355&gt;0,COUNTIF($K$7:K355,"&gt;0"),"")</f>
      </c>
      <c r="O355" t="s">
        <v>1036</v>
      </c>
      <c r="P355" t="s">
        <v>1034</v>
      </c>
    </row>
    <row r="356" spans="1:16" customHeight="1" ht="58">
      <c r="A356" s="16"/>
      <c r="B356" s="18" t="s">
        <v>1010</v>
      </c>
      <c r="C356" s="17" t="s">
        <v>1000</v>
      </c>
      <c r="D356" s="17" t="s">
        <v>1038</v>
      </c>
      <c r="E356" s="17" t="s">
        <v>986</v>
      </c>
      <c r="F356" s="19"/>
      <c r="G356" s="20">
        <v>1.0</v>
      </c>
      <c r="H356" s="21">
        <v>99.0</v>
      </c>
      <c r="I356" s="21">
        <v>62.0</v>
      </c>
      <c r="J356" s="22">
        <v>50.0</v>
      </c>
      <c r="K356" s="50"/>
      <c r="L356" s="21" t="str">
        <f>IF(K356&gt;0,K356*I356,"")</f>
      </c>
      <c r="M356" s="52"/>
      <c r="N356" t="str">
        <f>IF(K356&gt;0,COUNTIF($K$7:K356,"&gt;0"),"")</f>
      </c>
      <c r="O356" t="s">
        <v>1039</v>
      </c>
      <c r="P356" t="s">
        <v>1037</v>
      </c>
    </row>
    <row r="357" spans="1:16" customHeight="1" ht="58">
      <c r="A357" s="16"/>
      <c r="B357" s="18" t="s">
        <v>1010</v>
      </c>
      <c r="C357" s="17" t="s">
        <v>1000</v>
      </c>
      <c r="D357" s="17" t="s">
        <v>1041</v>
      </c>
      <c r="E357" s="17" t="s">
        <v>986</v>
      </c>
      <c r="F357" s="19"/>
      <c r="G357" s="20">
        <v>1.0</v>
      </c>
      <c r="H357" s="21">
        <v>99.0</v>
      </c>
      <c r="I357" s="21">
        <v>62.0</v>
      </c>
      <c r="J357" s="22">
        <v>186.0</v>
      </c>
      <c r="K357" s="50"/>
      <c r="L357" s="21" t="str">
        <f>IF(K357&gt;0,K357*I357,"")</f>
      </c>
      <c r="M357" s="52"/>
      <c r="N357" t="str">
        <f>IF(K357&gt;0,COUNTIF($K$7:K357,"&gt;0"),"")</f>
      </c>
      <c r="O357" t="s">
        <v>1042</v>
      </c>
      <c r="P357" t="s">
        <v>1040</v>
      </c>
    </row>
    <row r="358" spans="1:16" customHeight="1" ht="58">
      <c r="A358" s="16"/>
      <c r="B358" s="18" t="s">
        <v>1010</v>
      </c>
      <c r="C358" s="17" t="s">
        <v>1000</v>
      </c>
      <c r="D358" s="17" t="s">
        <v>1044</v>
      </c>
      <c r="E358" s="17" t="s">
        <v>986</v>
      </c>
      <c r="F358" s="19"/>
      <c r="G358" s="20">
        <v>1.0</v>
      </c>
      <c r="H358" s="21">
        <v>99.0</v>
      </c>
      <c r="I358" s="21">
        <v>62.0</v>
      </c>
      <c r="J358" s="22">
        <v>154.0</v>
      </c>
      <c r="K358" s="50"/>
      <c r="L358" s="21" t="str">
        <f>IF(K358&gt;0,K358*I358,"")</f>
      </c>
      <c r="M358" s="52"/>
      <c r="N358" t="str">
        <f>IF(K358&gt;0,COUNTIF($K$7:K358,"&gt;0"),"")</f>
      </c>
      <c r="O358" t="s">
        <v>1045</v>
      </c>
      <c r="P358" t="s">
        <v>1043</v>
      </c>
    </row>
    <row r="359" spans="1:16" customHeight="1" ht="58">
      <c r="A359" s="16"/>
      <c r="B359" s="18" t="s">
        <v>1010</v>
      </c>
      <c r="C359" s="17" t="s">
        <v>1000</v>
      </c>
      <c r="D359" s="17" t="s">
        <v>1047</v>
      </c>
      <c r="E359" s="17" t="s">
        <v>986</v>
      </c>
      <c r="F359" s="19"/>
      <c r="G359" s="20">
        <v>1.0</v>
      </c>
      <c r="H359" s="21">
        <v>99.0</v>
      </c>
      <c r="I359" s="21">
        <v>62.0</v>
      </c>
      <c r="J359" s="22">
        <v>443.0</v>
      </c>
      <c r="K359" s="50"/>
      <c r="L359" s="21" t="str">
        <f>IF(K359&gt;0,K359*I359,"")</f>
      </c>
      <c r="M359" s="52"/>
      <c r="N359" t="str">
        <f>IF(K359&gt;0,COUNTIF($K$7:K359,"&gt;0"),"")</f>
      </c>
      <c r="O359" t="s">
        <v>1048</v>
      </c>
      <c r="P359" t="s">
        <v>1046</v>
      </c>
    </row>
    <row r="360" spans="1:16" customHeight="1" ht="58">
      <c r="A360" s="16"/>
      <c r="B360" s="18" t="s">
        <v>1010</v>
      </c>
      <c r="C360" s="17" t="s">
        <v>1000</v>
      </c>
      <c r="D360" s="17" t="s">
        <v>1050</v>
      </c>
      <c r="E360" s="17" t="s">
        <v>986</v>
      </c>
      <c r="F360" s="19"/>
      <c r="G360" s="20">
        <v>1.0</v>
      </c>
      <c r="H360" s="21">
        <v>99.0</v>
      </c>
      <c r="I360" s="21">
        <v>62.0</v>
      </c>
      <c r="J360" s="22">
        <v>46.0</v>
      </c>
      <c r="K360" s="50"/>
      <c r="L360" s="21" t="str">
        <f>IF(K360&gt;0,K360*I360,"")</f>
      </c>
      <c r="M360" s="52"/>
      <c r="N360" t="str">
        <f>IF(K360&gt;0,COUNTIF($K$7:K360,"&gt;0"),"")</f>
      </c>
      <c r="O360" t="s">
        <v>1051</v>
      </c>
      <c r="P360" t="s">
        <v>1049</v>
      </c>
    </row>
    <row r="361" spans="1:16" customHeight="1" ht="58">
      <c r="A361" s="16"/>
      <c r="B361" s="18" t="s">
        <v>1010</v>
      </c>
      <c r="C361" s="17" t="s">
        <v>1000</v>
      </c>
      <c r="D361" s="17" t="s">
        <v>1053</v>
      </c>
      <c r="E361" s="17" t="s">
        <v>986</v>
      </c>
      <c r="F361" s="19"/>
      <c r="G361" s="20">
        <v>1.0</v>
      </c>
      <c r="H361" s="21">
        <v>99.0</v>
      </c>
      <c r="I361" s="21">
        <v>62.0</v>
      </c>
      <c r="J361" s="22">
        <v>231.0</v>
      </c>
      <c r="K361" s="50"/>
      <c r="L361" s="21" t="str">
        <f>IF(K361&gt;0,K361*I361,"")</f>
      </c>
      <c r="M361" s="52"/>
      <c r="N361" t="str">
        <f>IF(K361&gt;0,COUNTIF($K$7:K361,"&gt;0"),"")</f>
      </c>
      <c r="O361" t="s">
        <v>1054</v>
      </c>
      <c r="P361" t="s">
        <v>1052</v>
      </c>
    </row>
    <row r="362" spans="1:16" customHeight="1" ht="58">
      <c r="A362" s="16"/>
      <c r="B362" s="18" t="s">
        <v>1010</v>
      </c>
      <c r="C362" s="17" t="s">
        <v>1000</v>
      </c>
      <c r="D362" s="17" t="s">
        <v>1056</v>
      </c>
      <c r="E362" s="17" t="s">
        <v>986</v>
      </c>
      <c r="F362" s="19"/>
      <c r="G362" s="20">
        <v>1.0</v>
      </c>
      <c r="H362" s="21">
        <v>99.0</v>
      </c>
      <c r="I362" s="21">
        <v>62.0</v>
      </c>
      <c r="J362" s="22">
        <v>81.0</v>
      </c>
      <c r="K362" s="50"/>
      <c r="L362" s="21" t="str">
        <f>IF(K362&gt;0,K362*I362,"")</f>
      </c>
      <c r="M362" s="52"/>
      <c r="N362" t="str">
        <f>IF(K362&gt;0,COUNTIF($K$7:K362,"&gt;0"),"")</f>
      </c>
      <c r="O362" t="s">
        <v>1021</v>
      </c>
      <c r="P362" t="s">
        <v>1055</v>
      </c>
    </row>
    <row r="363" spans="1:16" customHeight="1" ht="58">
      <c r="A363" s="16"/>
      <c r="B363" s="18" t="s">
        <v>1010</v>
      </c>
      <c r="C363" s="17" t="s">
        <v>1000</v>
      </c>
      <c r="D363" s="17" t="s">
        <v>1058</v>
      </c>
      <c r="E363" s="17" t="s">
        <v>986</v>
      </c>
      <c r="F363" s="19"/>
      <c r="G363" s="20">
        <v>1.0</v>
      </c>
      <c r="H363" s="21">
        <v>99.0</v>
      </c>
      <c r="I363" s="21">
        <v>62.0</v>
      </c>
      <c r="J363" s="22">
        <v>540.0</v>
      </c>
      <c r="K363" s="50"/>
      <c r="L363" s="21" t="str">
        <f>IF(K363&gt;0,K363*I363,"")</f>
      </c>
      <c r="M363" s="52"/>
      <c r="N363" t="str">
        <f>IF(K363&gt;0,COUNTIF($K$7:K363,"&gt;0"),"")</f>
      </c>
      <c r="O363" t="s">
        <v>1059</v>
      </c>
      <c r="P363" t="s">
        <v>1057</v>
      </c>
    </row>
    <row r="364" spans="1:16" customHeight="1" ht="58">
      <c r="A364" s="16"/>
      <c r="B364" s="18" t="s">
        <v>1010</v>
      </c>
      <c r="C364" s="17" t="s">
        <v>1000</v>
      </c>
      <c r="D364" s="17" t="s">
        <v>1061</v>
      </c>
      <c r="E364" s="17" t="s">
        <v>986</v>
      </c>
      <c r="F364" s="19"/>
      <c r="G364" s="20">
        <v>1.0</v>
      </c>
      <c r="H364" s="21">
        <v>99.0</v>
      </c>
      <c r="I364" s="21">
        <v>62.0</v>
      </c>
      <c r="J364" s="22">
        <v>506.0</v>
      </c>
      <c r="K364" s="50"/>
      <c r="L364" s="21" t="str">
        <f>IF(K364&gt;0,K364*I364,"")</f>
      </c>
      <c r="M364" s="52"/>
      <c r="N364" t="str">
        <f>IF(K364&gt;0,COUNTIF($K$7:K364,"&gt;0"),"")</f>
      </c>
      <c r="O364" t="s">
        <v>1062</v>
      </c>
      <c r="P364" t="s">
        <v>1060</v>
      </c>
    </row>
    <row r="365" spans="1:16" customHeight="1" ht="58">
      <c r="A365" s="16"/>
      <c r="B365" s="18" t="s">
        <v>1010</v>
      </c>
      <c r="C365" s="17" t="s">
        <v>1000</v>
      </c>
      <c r="D365" s="17" t="s">
        <v>1064</v>
      </c>
      <c r="E365" s="17" t="s">
        <v>986</v>
      </c>
      <c r="F365" s="19"/>
      <c r="G365" s="20">
        <v>1.0</v>
      </c>
      <c r="H365" s="21">
        <v>99.0</v>
      </c>
      <c r="I365" s="21">
        <v>62.0</v>
      </c>
      <c r="J365" s="22">
        <v>375.0</v>
      </c>
      <c r="K365" s="50"/>
      <c r="L365" s="21" t="str">
        <f>IF(K365&gt;0,K365*I365,"")</f>
      </c>
      <c r="M365" s="52"/>
      <c r="N365" t="str">
        <f>IF(K365&gt;0,COUNTIF($K$7:K365,"&gt;0"),"")</f>
      </c>
      <c r="O365" t="s">
        <v>1065</v>
      </c>
      <c r="P365" t="s">
        <v>1063</v>
      </c>
    </row>
    <row r="366" spans="1:16" customHeight="1" ht="58">
      <c r="A366" s="16"/>
      <c r="B366" s="18" t="s">
        <v>1010</v>
      </c>
      <c r="C366" s="17" t="s">
        <v>1000</v>
      </c>
      <c r="D366" s="17" t="s">
        <v>1067</v>
      </c>
      <c r="E366" s="17" t="s">
        <v>986</v>
      </c>
      <c r="F366" s="19"/>
      <c r="G366" s="20">
        <v>1.0</v>
      </c>
      <c r="H366" s="21">
        <v>99.0</v>
      </c>
      <c r="I366" s="21">
        <v>62.0</v>
      </c>
      <c r="J366" s="22">
        <v>87.0</v>
      </c>
      <c r="K366" s="50"/>
      <c r="L366" s="21" t="str">
        <f>IF(K366&gt;0,K366*I366,"")</f>
      </c>
      <c r="M366" s="52"/>
      <c r="N366" t="str">
        <f>IF(K366&gt;0,COUNTIF($K$7:K366,"&gt;0"),"")</f>
      </c>
      <c r="O366" t="s">
        <v>1068</v>
      </c>
      <c r="P366" t="s">
        <v>1066</v>
      </c>
    </row>
    <row r="367" spans="1:16" customHeight="1" ht="58">
      <c r="A367" s="16"/>
      <c r="B367" s="18" t="s">
        <v>1010</v>
      </c>
      <c r="C367" s="17" t="s">
        <v>1000</v>
      </c>
      <c r="D367" s="17" t="s">
        <v>1070</v>
      </c>
      <c r="E367" s="17" t="s">
        <v>986</v>
      </c>
      <c r="F367" s="19"/>
      <c r="G367" s="20">
        <v>1.0</v>
      </c>
      <c r="H367" s="21">
        <v>99.0</v>
      </c>
      <c r="I367" s="21">
        <v>62.0</v>
      </c>
      <c r="J367" s="22">
        <v>340.0</v>
      </c>
      <c r="K367" s="50"/>
      <c r="L367" s="21" t="str">
        <f>IF(K367&gt;0,K367*I367,"")</f>
      </c>
      <c r="M367" s="52"/>
      <c r="N367" t="str">
        <f>IF(K367&gt;0,COUNTIF($K$7:K367,"&gt;0"),"")</f>
      </c>
      <c r="O367" t="s">
        <v>1071</v>
      </c>
      <c r="P367" t="s">
        <v>1069</v>
      </c>
    </row>
    <row r="368" spans="1:16" customHeight="1" ht="58">
      <c r="A368" s="16"/>
      <c r="B368" s="18" t="s">
        <v>1010</v>
      </c>
      <c r="C368" s="17" t="s">
        <v>1000</v>
      </c>
      <c r="D368" s="17" t="s">
        <v>1073</v>
      </c>
      <c r="E368" s="17" t="s">
        <v>986</v>
      </c>
      <c r="F368" s="19"/>
      <c r="G368" s="20">
        <v>1.0</v>
      </c>
      <c r="H368" s="21">
        <v>99.0</v>
      </c>
      <c r="I368" s="21">
        <v>62.0</v>
      </c>
      <c r="J368" s="22">
        <v>529.0</v>
      </c>
      <c r="K368" s="50"/>
      <c r="L368" s="21" t="str">
        <f>IF(K368&gt;0,K368*I368,"")</f>
      </c>
      <c r="M368" s="52"/>
      <c r="N368" t="str">
        <f>IF(K368&gt;0,COUNTIF($K$7:K368,"&gt;0"),"")</f>
      </c>
      <c r="O368" t="s">
        <v>1074</v>
      </c>
      <c r="P368" t="s">
        <v>1072</v>
      </c>
    </row>
    <row r="369" spans="1:16" customHeight="1" ht="58">
      <c r="A369" s="16"/>
      <c r="B369" s="18" t="s">
        <v>1076</v>
      </c>
      <c r="C369" s="17" t="s">
        <v>1000</v>
      </c>
      <c r="D369" s="17" t="s">
        <v>1077</v>
      </c>
      <c r="E369" s="17" t="s">
        <v>1078</v>
      </c>
      <c r="F369" s="19"/>
      <c r="G369" s="20">
        <v>1.0</v>
      </c>
      <c r="H369" s="21">
        <v>187.0</v>
      </c>
      <c r="I369" s="21">
        <v>114.0</v>
      </c>
      <c r="J369" s="22">
        <v>438.0</v>
      </c>
      <c r="K369" s="50"/>
      <c r="L369" s="21" t="str">
        <f>IF(K369&gt;0,K369*I369,"")</f>
      </c>
      <c r="M369" s="52"/>
      <c r="N369" t="str">
        <f>IF(K369&gt;0,COUNTIF($K$7:K369,"&gt;0"),"")</f>
      </c>
      <c r="O369" t="s">
        <v>1079</v>
      </c>
      <c r="P369" t="s">
        <v>1075</v>
      </c>
    </row>
    <row r="370" spans="1:16" customHeight="1" ht="58">
      <c r="A370" s="16"/>
      <c r="B370" s="18" t="s">
        <v>1076</v>
      </c>
      <c r="C370" s="17" t="s">
        <v>1000</v>
      </c>
      <c r="D370" s="17" t="s">
        <v>1081</v>
      </c>
      <c r="E370" s="17" t="s">
        <v>1078</v>
      </c>
      <c r="F370" s="19"/>
      <c r="G370" s="20">
        <v>1.0</v>
      </c>
      <c r="H370" s="21">
        <v>187.0</v>
      </c>
      <c r="I370" s="21">
        <v>114.0</v>
      </c>
      <c r="J370" s="22">
        <v>2416.0</v>
      </c>
      <c r="K370" s="50"/>
      <c r="L370" s="21" t="str">
        <f>IF(K370&gt;0,K370*I370,"")</f>
      </c>
      <c r="M370" s="52"/>
      <c r="N370" t="str">
        <f>IF(K370&gt;0,COUNTIF($K$7:K370,"&gt;0"),"")</f>
      </c>
      <c r="O370" t="s">
        <v>1082</v>
      </c>
      <c r="P370" t="s">
        <v>1080</v>
      </c>
    </row>
    <row r="371" spans="1:16" customHeight="1" ht="58">
      <c r="A371" s="16"/>
      <c r="B371" s="18" t="s">
        <v>1076</v>
      </c>
      <c r="C371" s="17" t="s">
        <v>1000</v>
      </c>
      <c r="D371" s="17" t="s">
        <v>1084</v>
      </c>
      <c r="E371" s="17" t="s">
        <v>1078</v>
      </c>
      <c r="F371" s="19"/>
      <c r="G371" s="20">
        <v>1.0</v>
      </c>
      <c r="H371" s="21">
        <v>187.0</v>
      </c>
      <c r="I371" s="21">
        <v>114.0</v>
      </c>
      <c r="J371" s="22">
        <v>2017.0</v>
      </c>
      <c r="K371" s="50"/>
      <c r="L371" s="21" t="str">
        <f>IF(K371&gt;0,K371*I371,"")</f>
      </c>
      <c r="M371" s="52"/>
      <c r="N371" t="str">
        <f>IF(K371&gt;0,COUNTIF($K$7:K371,"&gt;0"),"")</f>
      </c>
      <c r="O371" t="s">
        <v>1085</v>
      </c>
      <c r="P371" t="s">
        <v>1083</v>
      </c>
    </row>
    <row r="372" spans="1:16" customHeight="1" ht="58">
      <c r="A372" s="16"/>
      <c r="B372" s="18" t="s">
        <v>1076</v>
      </c>
      <c r="C372" s="17" t="s">
        <v>1000</v>
      </c>
      <c r="D372" s="17" t="s">
        <v>1087</v>
      </c>
      <c r="E372" s="17" t="s">
        <v>1078</v>
      </c>
      <c r="F372" s="19"/>
      <c r="G372" s="20">
        <v>1.0</v>
      </c>
      <c r="H372" s="21">
        <v>187.0</v>
      </c>
      <c r="I372" s="21">
        <v>114.0</v>
      </c>
      <c r="J372" s="22">
        <v>1467.0</v>
      </c>
      <c r="K372" s="50"/>
      <c r="L372" s="21" t="str">
        <f>IF(K372&gt;0,K372*I372,"")</f>
      </c>
      <c r="M372" s="52"/>
      <c r="N372" t="str">
        <f>IF(K372&gt;0,COUNTIF($K$7:K372,"&gt;0"),"")</f>
      </c>
      <c r="O372" t="s">
        <v>1088</v>
      </c>
      <c r="P372" t="s">
        <v>1086</v>
      </c>
    </row>
    <row r="373" spans="1:16" customHeight="1" ht="58">
      <c r="A373" s="16"/>
      <c r="B373" s="18" t="s">
        <v>1076</v>
      </c>
      <c r="C373" s="17" t="s">
        <v>1000</v>
      </c>
      <c r="D373" s="17" t="s">
        <v>1090</v>
      </c>
      <c r="E373" s="17" t="s">
        <v>1078</v>
      </c>
      <c r="F373" s="19"/>
      <c r="G373" s="20">
        <v>1.0</v>
      </c>
      <c r="H373" s="21">
        <v>187.0</v>
      </c>
      <c r="I373" s="21">
        <v>114.0</v>
      </c>
      <c r="J373" s="22">
        <v>1344.0</v>
      </c>
      <c r="K373" s="50"/>
      <c r="L373" s="21" t="str">
        <f>IF(K373&gt;0,K373*I373,"")</f>
      </c>
      <c r="M373" s="52"/>
      <c r="N373" t="str">
        <f>IF(K373&gt;0,COUNTIF($K$7:K373,"&gt;0"),"")</f>
      </c>
      <c r="O373" t="s">
        <v>1091</v>
      </c>
      <c r="P373" t="s">
        <v>1089</v>
      </c>
    </row>
    <row r="374" spans="1:16" customHeight="1" ht="58">
      <c r="A374" s="16"/>
      <c r="B374" s="18" t="s">
        <v>1076</v>
      </c>
      <c r="C374" s="17" t="s">
        <v>1000</v>
      </c>
      <c r="D374" s="17" t="s">
        <v>1093</v>
      </c>
      <c r="E374" s="17" t="s">
        <v>1078</v>
      </c>
      <c r="F374" s="19"/>
      <c r="G374" s="20">
        <v>1.0</v>
      </c>
      <c r="H374" s="21">
        <v>187.0</v>
      </c>
      <c r="I374" s="21">
        <v>114.0</v>
      </c>
      <c r="J374" s="22">
        <v>2149.0</v>
      </c>
      <c r="K374" s="50"/>
      <c r="L374" s="21" t="str">
        <f>IF(K374&gt;0,K374*I374,"")</f>
      </c>
      <c r="M374" s="52"/>
      <c r="N374" t="str">
        <f>IF(K374&gt;0,COUNTIF($K$7:K374,"&gt;0"),"")</f>
      </c>
      <c r="O374" t="s">
        <v>1094</v>
      </c>
      <c r="P374" t="s">
        <v>1092</v>
      </c>
    </row>
    <row r="375" spans="1:16" customHeight="1" ht="58">
      <c r="A375" s="16"/>
      <c r="B375" s="18" t="s">
        <v>1076</v>
      </c>
      <c r="C375" s="17" t="s">
        <v>1000</v>
      </c>
      <c r="D375" s="17" t="s">
        <v>1096</v>
      </c>
      <c r="E375" s="17" t="s">
        <v>1078</v>
      </c>
      <c r="F375" s="19"/>
      <c r="G375" s="20">
        <v>1.0</v>
      </c>
      <c r="H375" s="21">
        <v>187.0</v>
      </c>
      <c r="I375" s="21">
        <v>114.0</v>
      </c>
      <c r="J375" s="22">
        <v>1128.0</v>
      </c>
      <c r="K375" s="50"/>
      <c r="L375" s="21" t="str">
        <f>IF(K375&gt;0,K375*I375,"")</f>
      </c>
      <c r="M375" s="52"/>
      <c r="N375" t="str">
        <f>IF(K375&gt;0,COUNTIF($K$7:K375,"&gt;0"),"")</f>
      </c>
      <c r="O375" t="s">
        <v>1097</v>
      </c>
      <c r="P375" t="s">
        <v>1095</v>
      </c>
    </row>
    <row r="376" spans="1:16" customHeight="1" ht="58">
      <c r="A376" s="16"/>
      <c r="B376" s="18" t="s">
        <v>1076</v>
      </c>
      <c r="C376" s="17" t="s">
        <v>1000</v>
      </c>
      <c r="D376" s="17" t="s">
        <v>1099</v>
      </c>
      <c r="E376" s="17" t="s">
        <v>1078</v>
      </c>
      <c r="F376" s="19"/>
      <c r="G376" s="20">
        <v>1.0</v>
      </c>
      <c r="H376" s="21">
        <v>187.0</v>
      </c>
      <c r="I376" s="21">
        <v>114.0</v>
      </c>
      <c r="J376" s="22">
        <v>1129.0</v>
      </c>
      <c r="K376" s="50"/>
      <c r="L376" s="21" t="str">
        <f>IF(K376&gt;0,K376*I376,"")</f>
      </c>
      <c r="M376" s="52"/>
      <c r="N376" t="str">
        <f>IF(K376&gt;0,COUNTIF($K$7:K376,"&gt;0"),"")</f>
      </c>
      <c r="O376" t="s">
        <v>1100</v>
      </c>
      <c r="P376" t="s">
        <v>1098</v>
      </c>
    </row>
    <row r="377" spans="1:16" customHeight="1" ht="58">
      <c r="A377" s="16"/>
      <c r="B377" s="18" t="s">
        <v>1076</v>
      </c>
      <c r="C377" s="17" t="s">
        <v>1000</v>
      </c>
      <c r="D377" s="17" t="s">
        <v>1102</v>
      </c>
      <c r="E377" s="17" t="s">
        <v>1078</v>
      </c>
      <c r="F377" s="19"/>
      <c r="G377" s="20">
        <v>1.0</v>
      </c>
      <c r="H377" s="21">
        <v>187.0</v>
      </c>
      <c r="I377" s="21">
        <v>114.0</v>
      </c>
      <c r="J377" s="22">
        <v>2303.0</v>
      </c>
      <c r="K377" s="50"/>
      <c r="L377" s="21" t="str">
        <f>IF(K377&gt;0,K377*I377,"")</f>
      </c>
      <c r="M377" s="52"/>
      <c r="N377" t="str">
        <f>IF(K377&gt;0,COUNTIF($K$7:K377,"&gt;0"),"")</f>
      </c>
      <c r="O377" t="s">
        <v>1103</v>
      </c>
      <c r="P377" t="s">
        <v>1101</v>
      </c>
    </row>
    <row r="378" spans="1:16" customHeight="1" ht="58">
      <c r="A378" s="16"/>
      <c r="B378" s="18" t="s">
        <v>1105</v>
      </c>
      <c r="C378" s="17" t="s">
        <v>1000</v>
      </c>
      <c r="D378" s="17" t="s">
        <v>1106</v>
      </c>
      <c r="E378" s="17" t="s">
        <v>1107</v>
      </c>
      <c r="F378" s="19"/>
      <c r="G378" s="20">
        <v>1.0</v>
      </c>
      <c r="H378" s="21">
        <v>187.0</v>
      </c>
      <c r="I378" s="21">
        <v>122.0</v>
      </c>
      <c r="J378" s="22">
        <v>268.0</v>
      </c>
      <c r="K378" s="50"/>
      <c r="L378" s="21" t="str">
        <f>IF(K378&gt;0,K378*I378,"")</f>
      </c>
      <c r="M378" s="52"/>
      <c r="N378" t="str">
        <f>IF(K378&gt;0,COUNTIF($K$7:K378,"&gt;0"),"")</f>
      </c>
      <c r="O378" t="s">
        <v>1108</v>
      </c>
      <c r="P378" t="s">
        <v>1104</v>
      </c>
    </row>
    <row r="379" spans="1:16" customHeight="1" ht="58">
      <c r="A379" s="16"/>
      <c r="B379" s="18" t="s">
        <v>1105</v>
      </c>
      <c r="C379" s="17" t="s">
        <v>1000</v>
      </c>
      <c r="D379" s="17" t="s">
        <v>1110</v>
      </c>
      <c r="E379" s="17" t="s">
        <v>1107</v>
      </c>
      <c r="F379" s="19"/>
      <c r="G379" s="20">
        <v>1.0</v>
      </c>
      <c r="H379" s="21">
        <v>187.0</v>
      </c>
      <c r="I379" s="21">
        <v>122.0</v>
      </c>
      <c r="J379" s="22">
        <v>149.0</v>
      </c>
      <c r="K379" s="50"/>
      <c r="L379" s="21" t="str">
        <f>IF(K379&gt;0,K379*I379,"")</f>
      </c>
      <c r="M379" s="52"/>
      <c r="N379" t="str">
        <f>IF(K379&gt;0,COUNTIF($K$7:K379,"&gt;0"),"")</f>
      </c>
      <c r="O379" t="s">
        <v>1111</v>
      </c>
      <c r="P379" t="s">
        <v>1109</v>
      </c>
    </row>
    <row r="380" spans="1:16" customHeight="1" ht="58">
      <c r="A380" s="16"/>
      <c r="B380" s="18" t="s">
        <v>1105</v>
      </c>
      <c r="C380" s="17" t="s">
        <v>1000</v>
      </c>
      <c r="D380" s="17" t="s">
        <v>180</v>
      </c>
      <c r="E380" s="17" t="s">
        <v>1107</v>
      </c>
      <c r="F380" s="19"/>
      <c r="G380" s="20">
        <v>1.0</v>
      </c>
      <c r="H380" s="21">
        <v>165.0</v>
      </c>
      <c r="I380" s="21">
        <v>105.0</v>
      </c>
      <c r="J380" s="22">
        <v>39.0</v>
      </c>
      <c r="K380" s="50"/>
      <c r="L380" s="21" t="str">
        <f>IF(K380&gt;0,K380*I380,"")</f>
      </c>
      <c r="M380" s="52"/>
      <c r="N380" t="str">
        <f>IF(K380&gt;0,COUNTIF($K$7:K380,"&gt;0"),"")</f>
      </c>
      <c r="O380" t="s">
        <v>1113</v>
      </c>
      <c r="P380" t="s">
        <v>1112</v>
      </c>
    </row>
    <row r="381" spans="1:16" customHeight="1" ht="58">
      <c r="A381" s="16"/>
      <c r="B381" s="18" t="s">
        <v>1105</v>
      </c>
      <c r="C381" s="17" t="s">
        <v>1000</v>
      </c>
      <c r="D381" s="17" t="s">
        <v>190</v>
      </c>
      <c r="E381" s="17" t="s">
        <v>1107</v>
      </c>
      <c r="F381" s="19"/>
      <c r="G381" s="20">
        <v>1.0</v>
      </c>
      <c r="H381" s="21">
        <v>165.0</v>
      </c>
      <c r="I381" s="21">
        <v>105.0</v>
      </c>
      <c r="J381" s="22">
        <v>524.0</v>
      </c>
      <c r="K381" s="50"/>
      <c r="L381" s="21" t="str">
        <f>IF(K381&gt;0,K381*I381,"")</f>
      </c>
      <c r="M381" s="52"/>
      <c r="N381" t="str">
        <f>IF(K381&gt;0,COUNTIF($K$7:K381,"&gt;0"),"")</f>
      </c>
      <c r="O381" t="s">
        <v>1115</v>
      </c>
      <c r="P381" t="s">
        <v>1114</v>
      </c>
    </row>
    <row r="382" spans="1:16" customHeight="1" ht="58">
      <c r="A382" s="16"/>
      <c r="B382" s="18" t="s">
        <v>1105</v>
      </c>
      <c r="C382" s="17" t="s">
        <v>1000</v>
      </c>
      <c r="D382" s="17" t="s">
        <v>1117</v>
      </c>
      <c r="E382" s="17" t="s">
        <v>1107</v>
      </c>
      <c r="F382" s="19"/>
      <c r="G382" s="20">
        <v>1.0</v>
      </c>
      <c r="H382" s="21">
        <v>165.0</v>
      </c>
      <c r="I382" s="21">
        <v>105.0</v>
      </c>
      <c r="J382" s="22">
        <v>86.0</v>
      </c>
      <c r="K382" s="50"/>
      <c r="L382" s="21" t="str">
        <f>IF(K382&gt;0,K382*I382,"")</f>
      </c>
      <c r="M382" s="52"/>
      <c r="N382" t="str">
        <f>IF(K382&gt;0,COUNTIF($K$7:K382,"&gt;0"),"")</f>
      </c>
      <c r="O382" t="s">
        <v>1118</v>
      </c>
      <c r="P382" t="s">
        <v>1116</v>
      </c>
    </row>
    <row r="383" spans="1:16" customHeight="1" ht="58">
      <c r="A383" s="16"/>
      <c r="B383" s="18" t="s">
        <v>1105</v>
      </c>
      <c r="C383" s="17" t="s">
        <v>1000</v>
      </c>
      <c r="D383" s="17" t="s">
        <v>174</v>
      </c>
      <c r="E383" s="17" t="s">
        <v>1107</v>
      </c>
      <c r="F383" s="19"/>
      <c r="G383" s="20">
        <v>1.0</v>
      </c>
      <c r="H383" s="21">
        <v>165.0</v>
      </c>
      <c r="I383" s="21">
        <v>105.0</v>
      </c>
      <c r="J383" s="22">
        <v>925.0</v>
      </c>
      <c r="K383" s="50"/>
      <c r="L383" s="21" t="str">
        <f>IF(K383&gt;0,K383*I383,"")</f>
      </c>
      <c r="M383" s="52"/>
      <c r="N383" t="str">
        <f>IF(K383&gt;0,COUNTIF($K$7:K383,"&gt;0"),"")</f>
      </c>
      <c r="O383" t="s">
        <v>1120</v>
      </c>
      <c r="P383" t="s">
        <v>1119</v>
      </c>
    </row>
    <row r="384" spans="1:16" customHeight="1" ht="58">
      <c r="A384" s="16"/>
      <c r="B384" s="18" t="s">
        <v>1105</v>
      </c>
      <c r="C384" s="17" t="s">
        <v>1000</v>
      </c>
      <c r="D384" s="17" t="s">
        <v>196</v>
      </c>
      <c r="E384" s="17" t="s">
        <v>1107</v>
      </c>
      <c r="F384" s="19"/>
      <c r="G384" s="20">
        <v>1.0</v>
      </c>
      <c r="H384" s="21">
        <v>165.0</v>
      </c>
      <c r="I384" s="21">
        <v>105.0</v>
      </c>
      <c r="J384" s="22">
        <v>96.0</v>
      </c>
      <c r="K384" s="50"/>
      <c r="L384" s="21" t="str">
        <f>IF(K384&gt;0,K384*I384,"")</f>
      </c>
      <c r="M384" s="52"/>
      <c r="N384" t="str">
        <f>IF(K384&gt;0,COUNTIF($K$7:K384,"&gt;0"),"")</f>
      </c>
      <c r="O384" t="s">
        <v>1122</v>
      </c>
      <c r="P384" t="s">
        <v>1121</v>
      </c>
    </row>
    <row r="385" spans="1:16" customHeight="1" ht="58">
      <c r="A385" s="16"/>
      <c r="B385" s="18" t="s">
        <v>1124</v>
      </c>
      <c r="C385" s="17" t="s">
        <v>1125</v>
      </c>
      <c r="D385" s="17" t="s">
        <v>190</v>
      </c>
      <c r="E385" s="17" t="s">
        <v>1126</v>
      </c>
      <c r="F385" s="19"/>
      <c r="G385" s="20">
        <v>1.0</v>
      </c>
      <c r="H385" s="21">
        <v>346.5</v>
      </c>
      <c r="I385" s="21">
        <v>223.0</v>
      </c>
      <c r="J385" s="22">
        <v>33.0</v>
      </c>
      <c r="K385" s="50"/>
      <c r="L385" s="21" t="str">
        <f>IF(K385&gt;0,K385*I385,"")</f>
      </c>
      <c r="M385" s="52"/>
      <c r="N385" t="str">
        <f>IF(K385&gt;0,COUNTIF($K$7:K385,"&gt;0"),"")</f>
      </c>
      <c r="O385" t="s">
        <v>1127</v>
      </c>
      <c r="P385" t="s">
        <v>1123</v>
      </c>
    </row>
    <row r="386" spans="1:16" customHeight="1" ht="58">
      <c r="A386" s="16"/>
      <c r="B386" s="18" t="s">
        <v>1124</v>
      </c>
      <c r="C386" s="17" t="s">
        <v>1125</v>
      </c>
      <c r="D386" s="17" t="s">
        <v>1129</v>
      </c>
      <c r="E386" s="17" t="s">
        <v>1126</v>
      </c>
      <c r="F386" s="19"/>
      <c r="G386" s="20">
        <v>1.0</v>
      </c>
      <c r="H386" s="21">
        <v>346.5</v>
      </c>
      <c r="I386" s="21">
        <v>223.0</v>
      </c>
      <c r="J386" s="22">
        <v>81.0</v>
      </c>
      <c r="K386" s="50"/>
      <c r="L386" s="21" t="str">
        <f>IF(K386&gt;0,K386*I386,"")</f>
      </c>
      <c r="M386" s="52"/>
      <c r="N386" t="str">
        <f>IF(K386&gt;0,COUNTIF($K$7:K386,"&gt;0"),"")</f>
      </c>
      <c r="O386" t="s">
        <v>1130</v>
      </c>
      <c r="P386" t="s">
        <v>1128</v>
      </c>
    </row>
    <row r="387" spans="1:16" customHeight="1" ht="58">
      <c r="A387" s="16"/>
      <c r="B387" s="18" t="s">
        <v>1124</v>
      </c>
      <c r="C387" s="17" t="s">
        <v>1125</v>
      </c>
      <c r="D387" s="17" t="s">
        <v>196</v>
      </c>
      <c r="E387" s="17" t="s">
        <v>1126</v>
      </c>
      <c r="F387" s="19"/>
      <c r="G387" s="20">
        <v>1.0</v>
      </c>
      <c r="H387" s="21">
        <v>346.5</v>
      </c>
      <c r="I387" s="21">
        <v>223.0</v>
      </c>
      <c r="J387" s="22">
        <v>1.0</v>
      </c>
      <c r="K387" s="50"/>
      <c r="L387" s="21" t="str">
        <f>IF(K387&gt;0,K387*I387,"")</f>
      </c>
      <c r="M387" s="52"/>
      <c r="N387" t="str">
        <f>IF(K387&gt;0,COUNTIF($K$7:K387,"&gt;0"),"")</f>
      </c>
      <c r="O387" t="s">
        <v>1132</v>
      </c>
      <c r="P387" t="s">
        <v>1131</v>
      </c>
    </row>
    <row r="388" spans="1:16" customHeight="1" ht="58">
      <c r="A388" s="16"/>
      <c r="B388" s="18" t="s">
        <v>1124</v>
      </c>
      <c r="C388" s="17" t="s">
        <v>1125</v>
      </c>
      <c r="D388" s="17" t="s">
        <v>174</v>
      </c>
      <c r="E388" s="17" t="s">
        <v>1126</v>
      </c>
      <c r="F388" s="19"/>
      <c r="G388" s="20">
        <v>1.0</v>
      </c>
      <c r="H388" s="21">
        <v>346.5</v>
      </c>
      <c r="I388" s="21">
        <v>223.0</v>
      </c>
      <c r="J388" s="22">
        <v>359.0</v>
      </c>
      <c r="K388" s="50"/>
      <c r="L388" s="21" t="str">
        <f>IF(K388&gt;0,K388*I388,"")</f>
      </c>
      <c r="M388" s="52"/>
      <c r="N388" t="str">
        <f>IF(K388&gt;0,COUNTIF($K$7:K388,"&gt;0"),"")</f>
      </c>
      <c r="O388" t="s">
        <v>1134</v>
      </c>
      <c r="P388" t="s">
        <v>1133</v>
      </c>
    </row>
    <row r="389" spans="1:16" customHeight="1" ht="58">
      <c r="A389" s="16"/>
      <c r="B389" s="18" t="s">
        <v>1136</v>
      </c>
      <c r="C389" s="17" t="s">
        <v>1137</v>
      </c>
      <c r="D389" s="17" t="s">
        <v>1138</v>
      </c>
      <c r="E389" s="17"/>
      <c r="F389" s="19"/>
      <c r="G389" s="20">
        <v>1.0</v>
      </c>
      <c r="H389" s="21">
        <v>286.0</v>
      </c>
      <c r="I389" s="21"/>
      <c r="J389" s="22">
        <v>35.0</v>
      </c>
      <c r="K389" s="50"/>
      <c r="L389" s="21" t="str">
        <f>IF(K389&gt;0,"по запросу","")</f>
      </c>
      <c r="M389" s="52"/>
      <c r="N389" t="str">
        <f>IF(K389&gt;0,COUNTIF($K$7:K389,"&gt;0"),"")</f>
      </c>
      <c r="O389" t="s">
        <v>1139</v>
      </c>
      <c r="P389" t="s">
        <v>1135</v>
      </c>
    </row>
    <row r="390" spans="1:16" customHeight="1" ht="24">
      <c r="A390" s="23" t="s">
        <v>1140</v>
      </c>
      <c r="B390" s="24"/>
      <c r="C390" s="25"/>
      <c r="D390" s="25"/>
      <c r="E390" s="25"/>
      <c r="F390" s="26"/>
      <c r="G390" s="27"/>
      <c r="H390" s="28"/>
      <c r="I390" s="28"/>
      <c r="J390" s="29"/>
      <c r="K390" s="49"/>
      <c r="L390" s="28"/>
      <c r="M390" s="51"/>
      <c r="N390" t="str">
        <f>IF(K390&gt;0,COUNTIF($K$7:K390,"&gt;0"),"")</f>
      </c>
    </row>
    <row r="391" spans="1:16" customHeight="1" ht="58">
      <c r="A391" s="16"/>
      <c r="B391" s="18" t="s">
        <v>1142</v>
      </c>
      <c r="C391" s="17" t="s">
        <v>29</v>
      </c>
      <c r="D391" s="17"/>
      <c r="E391" s="17" t="s">
        <v>1143</v>
      </c>
      <c r="F391" s="19"/>
      <c r="G391" s="20">
        <v>1.0</v>
      </c>
      <c r="H391" s="21">
        <v>726.0</v>
      </c>
      <c r="I391" s="21">
        <v>465.0</v>
      </c>
      <c r="J391" s="22">
        <v>1206.0</v>
      </c>
      <c r="K391" s="50"/>
      <c r="L391" s="21" t="str">
        <f>IF(K391&gt;0,K391*I391,"")</f>
      </c>
      <c r="M391" s="52"/>
      <c r="N391" t="str">
        <f>IF(K391&gt;0,COUNTIF($K$7:K391,"&gt;0"),"")</f>
      </c>
      <c r="O391" t="s">
        <v>1144</v>
      </c>
      <c r="P391" t="s">
        <v>1141</v>
      </c>
    </row>
    <row r="392" spans="1:16" customHeight="1" ht="58">
      <c r="A392" s="16"/>
      <c r="B392" s="18" t="s">
        <v>1146</v>
      </c>
      <c r="C392" s="17" t="s">
        <v>29</v>
      </c>
      <c r="D392" s="17" t="s">
        <v>156</v>
      </c>
      <c r="E392" s="17" t="s">
        <v>1147</v>
      </c>
      <c r="F392" s="19"/>
      <c r="G392" s="20">
        <v>1.0</v>
      </c>
      <c r="H392" s="21">
        <v>143.0</v>
      </c>
      <c r="I392" s="21">
        <v>83.0</v>
      </c>
      <c r="J392" s="22">
        <v>87.0</v>
      </c>
      <c r="K392" s="50"/>
      <c r="L392" s="21" t="str">
        <f>IF(K392&gt;0,K392*I392,"")</f>
      </c>
      <c r="M392" s="52"/>
      <c r="N392" t="str">
        <f>IF(K392&gt;0,COUNTIF($K$7:K392,"&gt;0"),"")</f>
      </c>
      <c r="O392" t="s">
        <v>1148</v>
      </c>
      <c r="P392" t="s">
        <v>1145</v>
      </c>
    </row>
    <row r="393" spans="1:16" customHeight="1" ht="58">
      <c r="A393" s="16"/>
      <c r="B393" s="18" t="s">
        <v>1150</v>
      </c>
      <c r="C393" s="17" t="s">
        <v>29</v>
      </c>
      <c r="D393" s="17" t="s">
        <v>156</v>
      </c>
      <c r="E393" s="17" t="s">
        <v>1151</v>
      </c>
      <c r="F393" s="19"/>
      <c r="G393" s="20">
        <v>1.0</v>
      </c>
      <c r="H393" s="21">
        <v>418.0</v>
      </c>
      <c r="I393" s="21">
        <v>266.0</v>
      </c>
      <c r="J393" s="22">
        <v>297.0</v>
      </c>
      <c r="K393" s="50"/>
      <c r="L393" s="21" t="str">
        <f>IF(K393&gt;0,K393*I393,"")</f>
      </c>
      <c r="M393" s="52"/>
      <c r="N393" t="str">
        <f>IF(K393&gt;0,COUNTIF($K$7:K393,"&gt;0"),"")</f>
      </c>
      <c r="O393" t="s">
        <v>1152</v>
      </c>
      <c r="P393" t="s">
        <v>1149</v>
      </c>
    </row>
    <row r="394" spans="1:16" customHeight="1" ht="58">
      <c r="A394" s="16"/>
      <c r="B394" s="18" t="s">
        <v>1154</v>
      </c>
      <c r="C394" s="17" t="s">
        <v>29</v>
      </c>
      <c r="D394" s="17" t="s">
        <v>883</v>
      </c>
      <c r="E394" s="17" t="s">
        <v>1155</v>
      </c>
      <c r="F394" s="19"/>
      <c r="G394" s="20">
        <v>1.0</v>
      </c>
      <c r="H394" s="21">
        <v>264.0</v>
      </c>
      <c r="I394" s="21">
        <v>168.0</v>
      </c>
      <c r="J394" s="22">
        <v>9.0</v>
      </c>
      <c r="K394" s="50"/>
      <c r="L394" s="21" t="str">
        <f>IF(K394&gt;0,K394*I394,"")</f>
      </c>
      <c r="M394" s="52"/>
      <c r="N394" t="str">
        <f>IF(K394&gt;0,COUNTIF($K$7:K394,"&gt;0"),"")</f>
      </c>
      <c r="O394" t="s">
        <v>1156</v>
      </c>
      <c r="P394" t="s">
        <v>1153</v>
      </c>
    </row>
    <row r="395" spans="1:16" customHeight="1" ht="58">
      <c r="A395" s="16"/>
      <c r="B395" s="18" t="s">
        <v>1158</v>
      </c>
      <c r="C395" s="17" t="s">
        <v>29</v>
      </c>
      <c r="D395" s="17" t="s">
        <v>883</v>
      </c>
      <c r="E395" s="17" t="s">
        <v>1159</v>
      </c>
      <c r="F395" s="19"/>
      <c r="G395" s="20">
        <v>1.0</v>
      </c>
      <c r="H395" s="21">
        <v>286.0</v>
      </c>
      <c r="I395" s="21">
        <v>185.0</v>
      </c>
      <c r="J395" s="22">
        <v>15.0</v>
      </c>
      <c r="K395" s="50"/>
      <c r="L395" s="21" t="str">
        <f>IF(K395&gt;0,K395*I395,"")</f>
      </c>
      <c r="M395" s="52"/>
      <c r="N395" t="str">
        <f>IF(K395&gt;0,COUNTIF($K$7:K395,"&gt;0"),"")</f>
      </c>
      <c r="O395" t="s">
        <v>1160</v>
      </c>
      <c r="P395" t="s">
        <v>1157</v>
      </c>
    </row>
    <row r="396" spans="1:16" customHeight="1" ht="58">
      <c r="A396" s="16"/>
      <c r="B396" s="18" t="s">
        <v>1162</v>
      </c>
      <c r="C396" s="17" t="s">
        <v>29</v>
      </c>
      <c r="D396" s="17" t="s">
        <v>883</v>
      </c>
      <c r="E396" s="17" t="s">
        <v>1163</v>
      </c>
      <c r="F396" s="19"/>
      <c r="G396" s="20">
        <v>1.0</v>
      </c>
      <c r="H396" s="21">
        <v>286.0</v>
      </c>
      <c r="I396" s="21">
        <v>185.0</v>
      </c>
      <c r="J396" s="22">
        <v>26.0</v>
      </c>
      <c r="K396" s="50"/>
      <c r="L396" s="21" t="str">
        <f>IF(K396&gt;0,K396*I396,"")</f>
      </c>
      <c r="M396" s="52"/>
      <c r="N396" t="str">
        <f>IF(K396&gt;0,COUNTIF($K$7:K396,"&gt;0"),"")</f>
      </c>
      <c r="O396" t="s">
        <v>1164</v>
      </c>
      <c r="P396" t="s">
        <v>1161</v>
      </c>
    </row>
    <row r="397" spans="1:16" customHeight="1" ht="58">
      <c r="A397" s="16"/>
      <c r="B397" s="18" t="s">
        <v>1166</v>
      </c>
      <c r="C397" s="17" t="s">
        <v>29</v>
      </c>
      <c r="D397" s="17" t="s">
        <v>883</v>
      </c>
      <c r="E397" s="17" t="s">
        <v>1167</v>
      </c>
      <c r="F397" s="19"/>
      <c r="G397" s="20">
        <v>1.0</v>
      </c>
      <c r="H397" s="21">
        <v>286.0</v>
      </c>
      <c r="I397" s="21">
        <v>185.0</v>
      </c>
      <c r="J397" s="22">
        <v>5.0</v>
      </c>
      <c r="K397" s="50"/>
      <c r="L397" s="21" t="str">
        <f>IF(K397&gt;0,K397*I397,"")</f>
      </c>
      <c r="M397" s="52"/>
      <c r="N397" t="str">
        <f>IF(K397&gt;0,COUNTIF($K$7:K397,"&gt;0"),"")</f>
      </c>
      <c r="O397" t="s">
        <v>1168</v>
      </c>
      <c r="P397" t="s">
        <v>1165</v>
      </c>
    </row>
    <row r="398" spans="1:16" customHeight="1" ht="58">
      <c r="A398" s="16"/>
      <c r="B398" s="18" t="s">
        <v>1170</v>
      </c>
      <c r="C398" s="17" t="s">
        <v>29</v>
      </c>
      <c r="D398" s="17" t="s">
        <v>883</v>
      </c>
      <c r="E398" s="17" t="s">
        <v>1171</v>
      </c>
      <c r="F398" s="19"/>
      <c r="G398" s="20">
        <v>1.0</v>
      </c>
      <c r="H398" s="21">
        <v>286.0</v>
      </c>
      <c r="I398" s="21">
        <v>185.0</v>
      </c>
      <c r="J398" s="22">
        <v>12.0</v>
      </c>
      <c r="K398" s="50"/>
      <c r="L398" s="21" t="str">
        <f>IF(K398&gt;0,K398*I398,"")</f>
      </c>
      <c r="M398" s="52"/>
      <c r="N398" t="str">
        <f>IF(K398&gt;0,COUNTIF($K$7:K398,"&gt;0"),"")</f>
      </c>
      <c r="O398" t="s">
        <v>1172</v>
      </c>
      <c r="P398" t="s">
        <v>1169</v>
      </c>
    </row>
    <row r="399" spans="1:16" customHeight="1" ht="58">
      <c r="A399" s="16"/>
      <c r="B399" s="18" t="s">
        <v>1174</v>
      </c>
      <c r="C399" s="17" t="s">
        <v>29</v>
      </c>
      <c r="D399" s="17" t="s">
        <v>883</v>
      </c>
      <c r="E399" s="17" t="s">
        <v>1175</v>
      </c>
      <c r="F399" s="19"/>
      <c r="G399" s="20">
        <v>1.0</v>
      </c>
      <c r="H399" s="21">
        <v>286.0</v>
      </c>
      <c r="I399" s="21">
        <v>185.0</v>
      </c>
      <c r="J399" s="22">
        <v>17.0</v>
      </c>
      <c r="K399" s="50"/>
      <c r="L399" s="21" t="str">
        <f>IF(K399&gt;0,K399*I399,"")</f>
      </c>
      <c r="M399" s="52"/>
      <c r="N399" t="str">
        <f>IF(K399&gt;0,COUNTIF($K$7:K399,"&gt;0"),"")</f>
      </c>
      <c r="O399" t="s">
        <v>1176</v>
      </c>
      <c r="P399" t="s">
        <v>1173</v>
      </c>
    </row>
    <row r="400" spans="1:16" customHeight="1" ht="58">
      <c r="A400" s="16"/>
      <c r="B400" s="18" t="s">
        <v>1178</v>
      </c>
      <c r="C400" s="17" t="s">
        <v>29</v>
      </c>
      <c r="D400" s="17" t="s">
        <v>156</v>
      </c>
      <c r="E400" s="17" t="s">
        <v>1179</v>
      </c>
      <c r="F400" s="19"/>
      <c r="G400" s="20">
        <v>1.0</v>
      </c>
      <c r="H400" s="21">
        <v>198.0</v>
      </c>
      <c r="I400" s="21">
        <v>128.0</v>
      </c>
      <c r="J400" s="22">
        <v>29.0</v>
      </c>
      <c r="K400" s="50"/>
      <c r="L400" s="21" t="str">
        <f>IF(K400&gt;0,K400*I400,"")</f>
      </c>
      <c r="M400" s="52"/>
      <c r="N400" t="str">
        <f>IF(K400&gt;0,COUNTIF($K$7:K400,"&gt;0"),"")</f>
      </c>
      <c r="O400" t="s">
        <v>1180</v>
      </c>
      <c r="P400" t="s">
        <v>1177</v>
      </c>
    </row>
    <row r="401" spans="1:16" customHeight="1" ht="58">
      <c r="A401" s="16"/>
      <c r="B401" s="18" t="s">
        <v>1182</v>
      </c>
      <c r="C401" s="17" t="s">
        <v>29</v>
      </c>
      <c r="D401" s="17" t="s">
        <v>156</v>
      </c>
      <c r="E401" s="17" t="s">
        <v>1183</v>
      </c>
      <c r="F401" s="19"/>
      <c r="G401" s="20">
        <v>1.0</v>
      </c>
      <c r="H401" s="21">
        <v>220.0</v>
      </c>
      <c r="I401" s="21">
        <v>139.0</v>
      </c>
      <c r="J401" s="22">
        <v>100.0</v>
      </c>
      <c r="K401" s="50"/>
      <c r="L401" s="21" t="str">
        <f>IF(K401&gt;0,K401*I401,"")</f>
      </c>
      <c r="M401" s="52"/>
      <c r="N401" t="str">
        <f>IF(K401&gt;0,COUNTIF($K$7:K401,"&gt;0"),"")</f>
      </c>
      <c r="O401" t="s">
        <v>1184</v>
      </c>
      <c r="P401" t="s">
        <v>1181</v>
      </c>
    </row>
    <row r="402" spans="1:16" customHeight="1" ht="58">
      <c r="A402" s="16"/>
      <c r="B402" s="18" t="s">
        <v>1186</v>
      </c>
      <c r="C402" s="17" t="s">
        <v>29</v>
      </c>
      <c r="D402" s="17" t="s">
        <v>75</v>
      </c>
      <c r="E402" s="17" t="s">
        <v>1187</v>
      </c>
      <c r="F402" s="19"/>
      <c r="G402" s="20">
        <v>1.0</v>
      </c>
      <c r="H402" s="21">
        <v>242.0</v>
      </c>
      <c r="I402" s="21">
        <v>158.0</v>
      </c>
      <c r="J402" s="22">
        <v>186.0</v>
      </c>
      <c r="K402" s="50"/>
      <c r="L402" s="21" t="str">
        <f>IF(K402&gt;0,K402*I402,"")</f>
      </c>
      <c r="M402" s="52"/>
      <c r="N402" t="str">
        <f>IF(K402&gt;0,COUNTIF($K$7:K402,"&gt;0"),"")</f>
      </c>
      <c r="O402" t="s">
        <v>1188</v>
      </c>
      <c r="P402" t="s">
        <v>1185</v>
      </c>
    </row>
    <row r="403" spans="1:16" customHeight="1" ht="58">
      <c r="A403" s="16"/>
      <c r="B403" s="18" t="s">
        <v>1190</v>
      </c>
      <c r="C403" s="17" t="s">
        <v>29</v>
      </c>
      <c r="D403" s="17" t="s">
        <v>383</v>
      </c>
      <c r="E403" s="17" t="s">
        <v>1187</v>
      </c>
      <c r="F403" s="19"/>
      <c r="G403" s="20">
        <v>1.0</v>
      </c>
      <c r="H403" s="21">
        <v>275.0</v>
      </c>
      <c r="I403" s="21">
        <v>166.0</v>
      </c>
      <c r="J403" s="22">
        <v>104.0</v>
      </c>
      <c r="K403" s="50"/>
      <c r="L403" s="21" t="str">
        <f>IF(K403&gt;0,K403*I403,"")</f>
      </c>
      <c r="M403" s="52"/>
      <c r="N403" t="str">
        <f>IF(K403&gt;0,COUNTIF($K$7:K403,"&gt;0"),"")</f>
      </c>
      <c r="O403" t="s">
        <v>1191</v>
      </c>
      <c r="P403" t="s">
        <v>1189</v>
      </c>
    </row>
    <row r="404" spans="1:16" customHeight="1" ht="58">
      <c r="A404" s="16"/>
      <c r="B404" s="18" t="s">
        <v>1193</v>
      </c>
      <c r="C404" s="17" t="s">
        <v>29</v>
      </c>
      <c r="D404" s="17" t="s">
        <v>1194</v>
      </c>
      <c r="E404" s="17" t="s">
        <v>1187</v>
      </c>
      <c r="F404" s="19"/>
      <c r="G404" s="20">
        <v>1.0</v>
      </c>
      <c r="H404" s="21">
        <v>275.0</v>
      </c>
      <c r="I404" s="21">
        <v>166.0</v>
      </c>
      <c r="J404" s="22">
        <v>173.0</v>
      </c>
      <c r="K404" s="50"/>
      <c r="L404" s="21" t="str">
        <f>IF(K404&gt;0,K404*I404,"")</f>
      </c>
      <c r="M404" s="52"/>
      <c r="N404" t="str">
        <f>IF(K404&gt;0,COUNTIF($K$7:K404,"&gt;0"),"")</f>
      </c>
      <c r="O404" t="s">
        <v>1195</v>
      </c>
      <c r="P404" t="s">
        <v>1192</v>
      </c>
    </row>
    <row r="405" spans="1:16" customHeight="1" ht="58">
      <c r="A405" s="16"/>
      <c r="B405" s="18" t="s">
        <v>1197</v>
      </c>
      <c r="C405" s="17" t="s">
        <v>29</v>
      </c>
      <c r="D405" s="17" t="s">
        <v>127</v>
      </c>
      <c r="E405" s="17" t="s">
        <v>1187</v>
      </c>
      <c r="F405" s="19"/>
      <c r="G405" s="20">
        <v>1.0</v>
      </c>
      <c r="H405" s="21">
        <v>275.0</v>
      </c>
      <c r="I405" s="21">
        <v>166.0</v>
      </c>
      <c r="J405" s="22">
        <v>17.0</v>
      </c>
      <c r="K405" s="50"/>
      <c r="L405" s="21" t="str">
        <f>IF(K405&gt;0,K405*I405,"")</f>
      </c>
      <c r="M405" s="52"/>
      <c r="N405" t="str">
        <f>IF(K405&gt;0,COUNTIF($K$7:K405,"&gt;0"),"")</f>
      </c>
      <c r="O405" t="s">
        <v>1198</v>
      </c>
      <c r="P405" t="s">
        <v>1196</v>
      </c>
    </row>
    <row r="406" spans="1:16" customHeight="1" ht="58">
      <c r="A406" s="16"/>
      <c r="B406" s="18" t="s">
        <v>1200</v>
      </c>
      <c r="C406" s="17" t="s">
        <v>29</v>
      </c>
      <c r="D406" s="17" t="s">
        <v>47</v>
      </c>
      <c r="E406" s="17" t="s">
        <v>1187</v>
      </c>
      <c r="F406" s="19"/>
      <c r="G406" s="20">
        <v>1.0</v>
      </c>
      <c r="H406" s="21">
        <v>264.0</v>
      </c>
      <c r="I406" s="21">
        <v>165.0</v>
      </c>
      <c r="J406" s="22">
        <v>21.0</v>
      </c>
      <c r="K406" s="50"/>
      <c r="L406" s="21" t="str">
        <f>IF(K406&gt;0,K406*I406,"")</f>
      </c>
      <c r="M406" s="52"/>
      <c r="N406" t="str">
        <f>IF(K406&gt;0,COUNTIF($K$7:K406,"&gt;0"),"")</f>
      </c>
      <c r="O406" t="s">
        <v>1201</v>
      </c>
      <c r="P406" t="s">
        <v>1199</v>
      </c>
    </row>
    <row r="407" spans="1:16" customHeight="1" ht="58">
      <c r="A407" s="16"/>
      <c r="B407" s="18" t="s">
        <v>1203</v>
      </c>
      <c r="C407" s="17" t="s">
        <v>29</v>
      </c>
      <c r="D407" s="17" t="s">
        <v>1204</v>
      </c>
      <c r="E407" s="17" t="s">
        <v>1187</v>
      </c>
      <c r="F407" s="19"/>
      <c r="G407" s="20">
        <v>1.0</v>
      </c>
      <c r="H407" s="21">
        <v>275.0</v>
      </c>
      <c r="I407" s="21">
        <v>166.0</v>
      </c>
      <c r="J407" s="22">
        <v>31.0</v>
      </c>
      <c r="K407" s="50"/>
      <c r="L407" s="21" t="str">
        <f>IF(K407&gt;0,K407*I407,"")</f>
      </c>
      <c r="M407" s="52"/>
      <c r="N407" t="str">
        <f>IF(K407&gt;0,COUNTIF($K$7:K407,"&gt;0"),"")</f>
      </c>
      <c r="O407" t="s">
        <v>1205</v>
      </c>
      <c r="P407" t="s">
        <v>1202</v>
      </c>
    </row>
    <row r="408" spans="1:16" customHeight="1" ht="58">
      <c r="A408" s="16"/>
      <c r="B408" s="18" t="s">
        <v>1207</v>
      </c>
      <c r="C408" s="17" t="s">
        <v>1208</v>
      </c>
      <c r="D408" s="17" t="s">
        <v>174</v>
      </c>
      <c r="E408" s="17" t="s">
        <v>1209</v>
      </c>
      <c r="F408" s="19"/>
      <c r="G408" s="20">
        <v>1.0</v>
      </c>
      <c r="H408" s="21">
        <v>203.5</v>
      </c>
      <c r="I408" s="21">
        <v>126.0</v>
      </c>
      <c r="J408" s="22">
        <v>8.0</v>
      </c>
      <c r="K408" s="50"/>
      <c r="L408" s="21" t="str">
        <f>IF(K408&gt;0,K408*I408,"")</f>
      </c>
      <c r="M408" s="52"/>
      <c r="N408" t="str">
        <f>IF(K408&gt;0,COUNTIF($K$7:K408,"&gt;0"),"")</f>
      </c>
      <c r="O408" t="s">
        <v>1210</v>
      </c>
      <c r="P408" t="s">
        <v>1206</v>
      </c>
    </row>
    <row r="409" spans="1:16" customHeight="1" ht="58">
      <c r="A409" s="16"/>
      <c r="B409" s="18" t="s">
        <v>1207</v>
      </c>
      <c r="C409" s="17" t="s">
        <v>1208</v>
      </c>
      <c r="D409" s="17" t="s">
        <v>196</v>
      </c>
      <c r="E409" s="17" t="s">
        <v>1209</v>
      </c>
      <c r="F409" s="19"/>
      <c r="G409" s="20">
        <v>1.0</v>
      </c>
      <c r="H409" s="21">
        <v>203.5</v>
      </c>
      <c r="I409" s="21">
        <v>126.0</v>
      </c>
      <c r="J409" s="22">
        <v>62.0</v>
      </c>
      <c r="K409" s="50"/>
      <c r="L409" s="21" t="str">
        <f>IF(K409&gt;0,K409*I409,"")</f>
      </c>
      <c r="M409" s="52"/>
      <c r="N409" t="str">
        <f>IF(K409&gt;0,COUNTIF($K$7:K409,"&gt;0"),"")</f>
      </c>
      <c r="O409" t="s">
        <v>1212</v>
      </c>
      <c r="P409" t="s">
        <v>1211</v>
      </c>
    </row>
    <row r="410" spans="1:16" customHeight="1" ht="58">
      <c r="A410" s="16"/>
      <c r="B410" s="18" t="s">
        <v>1207</v>
      </c>
      <c r="C410" s="17" t="s">
        <v>1208</v>
      </c>
      <c r="D410" s="17" t="s">
        <v>190</v>
      </c>
      <c r="E410" s="17" t="s">
        <v>1209</v>
      </c>
      <c r="F410" s="19"/>
      <c r="G410" s="20">
        <v>1.0</v>
      </c>
      <c r="H410" s="21">
        <v>203.5</v>
      </c>
      <c r="I410" s="21">
        <v>126.0</v>
      </c>
      <c r="J410" s="22">
        <v>90.0</v>
      </c>
      <c r="K410" s="50"/>
      <c r="L410" s="21" t="str">
        <f>IF(K410&gt;0,K410*I410,"")</f>
      </c>
      <c r="M410" s="52"/>
      <c r="N410" t="str">
        <f>IF(K410&gt;0,COUNTIF($K$7:K410,"&gt;0"),"")</f>
      </c>
      <c r="O410" t="s">
        <v>1214</v>
      </c>
      <c r="P410" t="s">
        <v>1213</v>
      </c>
    </row>
    <row r="411" spans="1:16" customHeight="1" ht="58">
      <c r="A411" s="16"/>
      <c r="B411" s="18" t="s">
        <v>1207</v>
      </c>
      <c r="C411" s="17" t="s">
        <v>1208</v>
      </c>
      <c r="D411" s="17" t="s">
        <v>1216</v>
      </c>
      <c r="E411" s="17" t="s">
        <v>1209</v>
      </c>
      <c r="F411" s="19"/>
      <c r="G411" s="20">
        <v>1.0</v>
      </c>
      <c r="H411" s="21">
        <v>203.5</v>
      </c>
      <c r="I411" s="21">
        <v>126.0</v>
      </c>
      <c r="J411" s="22">
        <v>41.0</v>
      </c>
      <c r="K411" s="50"/>
      <c r="L411" s="21" t="str">
        <f>IF(K411&gt;0,K411*I411,"")</f>
      </c>
      <c r="M411" s="52"/>
      <c r="N411" t="str">
        <f>IF(K411&gt;0,COUNTIF($K$7:K411,"&gt;0"),"")</f>
      </c>
      <c r="O411" t="s">
        <v>1217</v>
      </c>
      <c r="P411" t="s">
        <v>1215</v>
      </c>
    </row>
    <row r="412" spans="1:16" customHeight="1" ht="58">
      <c r="A412" s="16"/>
      <c r="B412" s="18" t="s">
        <v>1207</v>
      </c>
      <c r="C412" s="17" t="s">
        <v>1208</v>
      </c>
      <c r="D412" s="17" t="s">
        <v>1219</v>
      </c>
      <c r="E412" s="17" t="s">
        <v>1209</v>
      </c>
      <c r="F412" s="19"/>
      <c r="G412" s="20">
        <v>1.0</v>
      </c>
      <c r="H412" s="21">
        <v>203.5</v>
      </c>
      <c r="I412" s="21">
        <v>126.0</v>
      </c>
      <c r="J412" s="22">
        <v>98.0</v>
      </c>
      <c r="K412" s="50"/>
      <c r="L412" s="21" t="str">
        <f>IF(K412&gt;0,K412*I412,"")</f>
      </c>
      <c r="M412" s="52"/>
      <c r="N412" t="str">
        <f>IF(K412&gt;0,COUNTIF($K$7:K412,"&gt;0"),"")</f>
      </c>
      <c r="O412" t="s">
        <v>1220</v>
      </c>
      <c r="P412" t="s">
        <v>1218</v>
      </c>
    </row>
    <row r="413" spans="1:16" customHeight="1" ht="58">
      <c r="A413" s="16"/>
      <c r="B413" s="18" t="s">
        <v>1222</v>
      </c>
      <c r="C413" s="17" t="s">
        <v>1223</v>
      </c>
      <c r="D413" s="17" t="s">
        <v>174</v>
      </c>
      <c r="E413" s="17" t="s">
        <v>1224</v>
      </c>
      <c r="F413" s="19"/>
      <c r="G413" s="20">
        <v>1.0</v>
      </c>
      <c r="H413" s="21">
        <v>110.0</v>
      </c>
      <c r="I413" s="21">
        <v>108.0</v>
      </c>
      <c r="J413" s="22">
        <v>11.0</v>
      </c>
      <c r="K413" s="50"/>
      <c r="L413" s="21" t="str">
        <f>IF(K413&gt;0,K413*I413,"")</f>
      </c>
      <c r="M413" s="52"/>
      <c r="N413" t="str">
        <f>IF(K413&gt;0,COUNTIF($K$7:K413,"&gt;0"),"")</f>
      </c>
      <c r="O413" t="s">
        <v>1225</v>
      </c>
      <c r="P413" t="s">
        <v>1221</v>
      </c>
    </row>
    <row r="414" spans="1:16" customHeight="1" ht="58">
      <c r="A414" s="16"/>
      <c r="B414" s="18" t="s">
        <v>1222</v>
      </c>
      <c r="C414" s="17" t="s">
        <v>1223</v>
      </c>
      <c r="D414" s="17" t="s">
        <v>190</v>
      </c>
      <c r="E414" s="17" t="s">
        <v>1224</v>
      </c>
      <c r="F414" s="19"/>
      <c r="G414" s="20">
        <v>1.0</v>
      </c>
      <c r="H414" s="21">
        <v>110.0</v>
      </c>
      <c r="I414" s="21">
        <v>108.0</v>
      </c>
      <c r="J414" s="22">
        <v>61.0</v>
      </c>
      <c r="K414" s="50"/>
      <c r="L414" s="21" t="str">
        <f>IF(K414&gt;0,K414*I414,"")</f>
      </c>
      <c r="M414" s="52"/>
      <c r="N414" t="str">
        <f>IF(K414&gt;0,COUNTIF($K$7:K414,"&gt;0"),"")</f>
      </c>
      <c r="O414" t="s">
        <v>1227</v>
      </c>
      <c r="P414" t="s">
        <v>1226</v>
      </c>
    </row>
    <row r="415" spans="1:16" customHeight="1" ht="58">
      <c r="A415" s="16"/>
      <c r="B415" s="18" t="s">
        <v>1222</v>
      </c>
      <c r="C415" s="17" t="s">
        <v>1223</v>
      </c>
      <c r="D415" s="17" t="s">
        <v>1229</v>
      </c>
      <c r="E415" s="17" t="s">
        <v>1224</v>
      </c>
      <c r="F415" s="19"/>
      <c r="G415" s="20">
        <v>1.0</v>
      </c>
      <c r="H415" s="21">
        <v>110.0</v>
      </c>
      <c r="I415" s="21">
        <v>108.0</v>
      </c>
      <c r="J415" s="22">
        <v>85.0</v>
      </c>
      <c r="K415" s="50"/>
      <c r="L415" s="21" t="str">
        <f>IF(K415&gt;0,K415*I415,"")</f>
      </c>
      <c r="M415" s="52"/>
      <c r="N415" t="str">
        <f>IF(K415&gt;0,COUNTIF($K$7:K415,"&gt;0"),"")</f>
      </c>
      <c r="O415" t="s">
        <v>1230</v>
      </c>
      <c r="P415" t="s">
        <v>1228</v>
      </c>
    </row>
    <row r="416" spans="1:16" customHeight="1" ht="24">
      <c r="A416" s="23" t="s">
        <v>1231</v>
      </c>
      <c r="B416" s="24"/>
      <c r="C416" s="25"/>
      <c r="D416" s="25"/>
      <c r="E416" s="25"/>
      <c r="F416" s="26"/>
      <c r="G416" s="27"/>
      <c r="H416" s="28"/>
      <c r="I416" s="28"/>
      <c r="J416" s="29"/>
      <c r="K416" s="49"/>
      <c r="L416" s="28"/>
      <c r="M416" s="51"/>
      <c r="N416" t="str">
        <f>IF(K416&gt;0,COUNTIF($K$7:K416,"&gt;0"),"")</f>
      </c>
    </row>
    <row r="417" spans="1:16" customHeight="1" ht="58">
      <c r="A417" s="16"/>
      <c r="B417" s="18" t="s">
        <v>1233</v>
      </c>
      <c r="C417" s="17" t="s">
        <v>1234</v>
      </c>
      <c r="D417" s="17" t="s">
        <v>190</v>
      </c>
      <c r="E417" s="17" t="s">
        <v>1235</v>
      </c>
      <c r="F417" s="19"/>
      <c r="G417" s="20">
        <v>1.0</v>
      </c>
      <c r="H417" s="21">
        <v>52.8</v>
      </c>
      <c r="I417" s="21">
        <v>35.0</v>
      </c>
      <c r="J417" s="22">
        <v>15.0</v>
      </c>
      <c r="K417" s="50"/>
      <c r="L417" s="21" t="str">
        <f>IF(K417&gt;0,K417*I417,"")</f>
      </c>
      <c r="M417" s="52"/>
      <c r="N417" t="str">
        <f>IF(K417&gt;0,COUNTIF($K$7:K417,"&gt;0"),"")</f>
      </c>
      <c r="O417" t="s">
        <v>1236</v>
      </c>
      <c r="P417" t="s">
        <v>1232</v>
      </c>
    </row>
    <row r="418" spans="1:16" customHeight="1" ht="58">
      <c r="A418" s="16"/>
      <c r="B418" s="18" t="s">
        <v>1233</v>
      </c>
      <c r="C418" s="17" t="s">
        <v>1234</v>
      </c>
      <c r="D418" s="17" t="s">
        <v>198</v>
      </c>
      <c r="E418" s="17" t="s">
        <v>1235</v>
      </c>
      <c r="F418" s="19"/>
      <c r="G418" s="20">
        <v>1.0</v>
      </c>
      <c r="H418" s="21">
        <v>52.8</v>
      </c>
      <c r="I418" s="21">
        <v>35.0</v>
      </c>
      <c r="J418" s="22">
        <v>707.0</v>
      </c>
      <c r="K418" s="50"/>
      <c r="L418" s="21" t="str">
        <f>IF(K418&gt;0,K418*I418,"")</f>
      </c>
      <c r="M418" s="52"/>
      <c r="N418" t="str">
        <f>IF(K418&gt;0,COUNTIF($K$7:K418,"&gt;0"),"")</f>
      </c>
      <c r="O418" t="s">
        <v>1238</v>
      </c>
      <c r="P418" t="s">
        <v>1237</v>
      </c>
    </row>
    <row r="419" spans="1:16" customHeight="1" ht="58">
      <c r="A419" s="16"/>
      <c r="B419" s="18" t="s">
        <v>1240</v>
      </c>
      <c r="C419" s="17" t="s">
        <v>1234</v>
      </c>
      <c r="D419" s="17" t="s">
        <v>1241</v>
      </c>
      <c r="E419" s="17" t="s">
        <v>1242</v>
      </c>
      <c r="F419" s="19"/>
      <c r="G419" s="20">
        <v>1.0</v>
      </c>
      <c r="H419" s="21">
        <v>121.0</v>
      </c>
      <c r="I419" s="21">
        <v>74.0</v>
      </c>
      <c r="J419" s="22">
        <v>118.0</v>
      </c>
      <c r="K419" s="50"/>
      <c r="L419" s="21" t="str">
        <f>IF(K419&gt;0,K419*I419,"")</f>
      </c>
      <c r="M419" s="52"/>
      <c r="N419" t="str">
        <f>IF(K419&gt;0,COUNTIF($K$7:K419,"&gt;0"),"")</f>
      </c>
      <c r="O419" t="s">
        <v>1243</v>
      </c>
      <c r="P419" t="s">
        <v>1239</v>
      </c>
    </row>
    <row r="420" spans="1:16" customHeight="1" ht="58">
      <c r="A420" s="16"/>
      <c r="B420" s="18" t="s">
        <v>1240</v>
      </c>
      <c r="C420" s="17" t="s">
        <v>1234</v>
      </c>
      <c r="D420" s="17" t="s">
        <v>1245</v>
      </c>
      <c r="E420" s="17" t="s">
        <v>1242</v>
      </c>
      <c r="F420" s="19"/>
      <c r="G420" s="20">
        <v>1.0</v>
      </c>
      <c r="H420" s="21">
        <v>121.0</v>
      </c>
      <c r="I420" s="21">
        <v>74.0</v>
      </c>
      <c r="J420" s="22">
        <v>554.0</v>
      </c>
      <c r="K420" s="50"/>
      <c r="L420" s="21" t="str">
        <f>IF(K420&gt;0,K420*I420,"")</f>
      </c>
      <c r="M420" s="52"/>
      <c r="N420" t="str">
        <f>IF(K420&gt;0,COUNTIF($K$7:K420,"&gt;0"),"")</f>
      </c>
      <c r="O420" t="s">
        <v>1246</v>
      </c>
      <c r="P420" t="s">
        <v>1244</v>
      </c>
    </row>
    <row r="421" spans="1:16" customHeight="1" ht="58">
      <c r="A421" s="16"/>
      <c r="B421" s="18" t="s">
        <v>1240</v>
      </c>
      <c r="C421" s="17" t="s">
        <v>1234</v>
      </c>
      <c r="D421" s="17" t="s">
        <v>1248</v>
      </c>
      <c r="E421" s="17" t="s">
        <v>1242</v>
      </c>
      <c r="F421" s="19"/>
      <c r="G421" s="20">
        <v>1.0</v>
      </c>
      <c r="H421" s="21">
        <v>121.0</v>
      </c>
      <c r="I421" s="21">
        <v>78.0</v>
      </c>
      <c r="J421" s="22">
        <v>638.0</v>
      </c>
      <c r="K421" s="50"/>
      <c r="L421" s="21" t="str">
        <f>IF(K421&gt;0,K421*I421,"")</f>
      </c>
      <c r="M421" s="52"/>
      <c r="N421" t="str">
        <f>IF(K421&gt;0,COUNTIF($K$7:K421,"&gt;0"),"")</f>
      </c>
      <c r="O421" t="s">
        <v>1249</v>
      </c>
      <c r="P421" t="s">
        <v>1247</v>
      </c>
    </row>
    <row r="422" spans="1:16" customHeight="1" ht="58">
      <c r="A422" s="16"/>
      <c r="B422" s="18" t="s">
        <v>1251</v>
      </c>
      <c r="C422" s="17" t="s">
        <v>1252</v>
      </c>
      <c r="D422" s="17" t="s">
        <v>208</v>
      </c>
      <c r="E422" s="17" t="s">
        <v>1253</v>
      </c>
      <c r="F422" s="19"/>
      <c r="G422" s="20">
        <v>1.0</v>
      </c>
      <c r="H422" s="21">
        <v>297.0</v>
      </c>
      <c r="I422" s="21">
        <v>185.0</v>
      </c>
      <c r="J422" s="22">
        <v>35.0</v>
      </c>
      <c r="K422" s="50"/>
      <c r="L422" s="21" t="str">
        <f>IF(K422&gt;0,K422*I422,"")</f>
      </c>
      <c r="M422" s="52"/>
      <c r="N422" t="str">
        <f>IF(K422&gt;0,COUNTIF($K$7:K422,"&gt;0"),"")</f>
      </c>
      <c r="O422" t="s">
        <v>1254</v>
      </c>
      <c r="P422" t="s">
        <v>1250</v>
      </c>
    </row>
    <row r="423" spans="1:16" customHeight="1" ht="58">
      <c r="A423" s="16"/>
      <c r="B423" s="18" t="s">
        <v>1251</v>
      </c>
      <c r="C423" s="17" t="s">
        <v>1252</v>
      </c>
      <c r="D423" s="17" t="s">
        <v>196</v>
      </c>
      <c r="E423" s="17" t="s">
        <v>1253</v>
      </c>
      <c r="F423" s="19"/>
      <c r="G423" s="20">
        <v>1.0</v>
      </c>
      <c r="H423" s="21">
        <v>297.0</v>
      </c>
      <c r="I423" s="21">
        <v>185.0</v>
      </c>
      <c r="J423" s="22">
        <v>43.0</v>
      </c>
      <c r="K423" s="50"/>
      <c r="L423" s="21" t="str">
        <f>IF(K423&gt;0,K423*I423,"")</f>
      </c>
      <c r="M423" s="52"/>
      <c r="N423" t="str">
        <f>IF(K423&gt;0,COUNTIF($K$7:K423,"&gt;0"),"")</f>
      </c>
      <c r="O423" t="s">
        <v>1256</v>
      </c>
      <c r="P423" t="s">
        <v>1255</v>
      </c>
    </row>
    <row r="424" spans="1:16" customHeight="1" ht="58">
      <c r="A424" s="16"/>
      <c r="B424" s="18" t="s">
        <v>1258</v>
      </c>
      <c r="C424" s="17" t="s">
        <v>1259</v>
      </c>
      <c r="D424" s="17" t="s">
        <v>217</v>
      </c>
      <c r="E424" s="17" t="s">
        <v>1260</v>
      </c>
      <c r="F424" s="19"/>
      <c r="G424" s="20">
        <v>1.0</v>
      </c>
      <c r="H424" s="21">
        <v>242.0</v>
      </c>
      <c r="I424" s="21">
        <v>154.0</v>
      </c>
      <c r="J424" s="22">
        <v>23.0</v>
      </c>
      <c r="K424" s="50"/>
      <c r="L424" s="21" t="str">
        <f>IF(K424&gt;0,K424*I424,"")</f>
      </c>
      <c r="M424" s="52"/>
      <c r="N424" t="str">
        <f>IF(K424&gt;0,COUNTIF($K$7:K424,"&gt;0"),"")</f>
      </c>
      <c r="O424" t="s">
        <v>1261</v>
      </c>
      <c r="P424" t="s">
        <v>1257</v>
      </c>
    </row>
    <row r="425" spans="1:16" customHeight="1" ht="58">
      <c r="A425" s="16"/>
      <c r="B425" s="18" t="s">
        <v>1258</v>
      </c>
      <c r="C425" s="17" t="s">
        <v>1259</v>
      </c>
      <c r="D425" s="17" t="s">
        <v>1263</v>
      </c>
      <c r="E425" s="17" t="s">
        <v>1260</v>
      </c>
      <c r="F425" s="19"/>
      <c r="G425" s="20">
        <v>1.0</v>
      </c>
      <c r="H425" s="21">
        <v>242.0</v>
      </c>
      <c r="I425" s="21">
        <v>154.0</v>
      </c>
      <c r="J425" s="22">
        <v>245.0</v>
      </c>
      <c r="K425" s="50"/>
      <c r="L425" s="21" t="str">
        <f>IF(K425&gt;0,K425*I425,"")</f>
      </c>
      <c r="M425" s="52"/>
      <c r="N425" t="str">
        <f>IF(K425&gt;0,COUNTIF($K$7:K425,"&gt;0"),"")</f>
      </c>
      <c r="O425" t="s">
        <v>1264</v>
      </c>
      <c r="P425" t="s">
        <v>1262</v>
      </c>
    </row>
    <row r="426" spans="1:16" customHeight="1" ht="58">
      <c r="A426" s="16"/>
      <c r="B426" s="18" t="s">
        <v>1258</v>
      </c>
      <c r="C426" s="17" t="s">
        <v>1259</v>
      </c>
      <c r="D426" s="17" t="s">
        <v>174</v>
      </c>
      <c r="E426" s="17" t="s">
        <v>1260</v>
      </c>
      <c r="F426" s="19"/>
      <c r="G426" s="20">
        <v>1.0</v>
      </c>
      <c r="H426" s="21">
        <v>242.0</v>
      </c>
      <c r="I426" s="21">
        <v>154.0</v>
      </c>
      <c r="J426" s="22">
        <v>336.0</v>
      </c>
      <c r="K426" s="50"/>
      <c r="L426" s="21" t="str">
        <f>IF(K426&gt;0,K426*I426,"")</f>
      </c>
      <c r="M426" s="52"/>
      <c r="N426" t="str">
        <f>IF(K426&gt;0,COUNTIF($K$7:K426,"&gt;0"),"")</f>
      </c>
      <c r="O426" t="s">
        <v>1266</v>
      </c>
      <c r="P426" t="s">
        <v>1265</v>
      </c>
    </row>
    <row r="427" spans="1:16" customHeight="1" ht="58">
      <c r="A427" s="16"/>
      <c r="B427" s="18" t="s">
        <v>1258</v>
      </c>
      <c r="C427" s="17" t="s">
        <v>1259</v>
      </c>
      <c r="D427" s="17" t="s">
        <v>482</v>
      </c>
      <c r="E427" s="17" t="s">
        <v>1260</v>
      </c>
      <c r="F427" s="19"/>
      <c r="G427" s="20">
        <v>1.0</v>
      </c>
      <c r="H427" s="21">
        <v>242.0</v>
      </c>
      <c r="I427" s="21">
        <v>154.0</v>
      </c>
      <c r="J427" s="22">
        <v>155.0</v>
      </c>
      <c r="K427" s="50"/>
      <c r="L427" s="21" t="str">
        <f>IF(K427&gt;0,K427*I427,"")</f>
      </c>
      <c r="M427" s="52"/>
      <c r="N427" t="str">
        <f>IF(K427&gt;0,COUNTIF($K$7:K427,"&gt;0"),"")</f>
      </c>
      <c r="O427" t="s">
        <v>1268</v>
      </c>
      <c r="P427" t="s">
        <v>1267</v>
      </c>
    </row>
    <row r="428" spans="1:16" customHeight="1" ht="58">
      <c r="A428" s="16"/>
      <c r="B428" s="18" t="s">
        <v>1258</v>
      </c>
      <c r="C428" s="17" t="s">
        <v>1259</v>
      </c>
      <c r="D428" s="17" t="s">
        <v>1270</v>
      </c>
      <c r="E428" s="17" t="s">
        <v>1260</v>
      </c>
      <c r="F428" s="19"/>
      <c r="G428" s="20">
        <v>1.0</v>
      </c>
      <c r="H428" s="21">
        <v>242.0</v>
      </c>
      <c r="I428" s="21">
        <v>154.0</v>
      </c>
      <c r="J428" s="22">
        <v>41.0</v>
      </c>
      <c r="K428" s="50"/>
      <c r="L428" s="21" t="str">
        <f>IF(K428&gt;0,K428*I428,"")</f>
      </c>
      <c r="M428" s="52"/>
      <c r="N428" t="str">
        <f>IF(K428&gt;0,COUNTIF($K$7:K428,"&gt;0"),"")</f>
      </c>
      <c r="O428" t="s">
        <v>1271</v>
      </c>
      <c r="P428" t="s">
        <v>1269</v>
      </c>
    </row>
    <row r="429" spans="1:16" customHeight="1" ht="24">
      <c r="A429" s="23" t="s">
        <v>1272</v>
      </c>
      <c r="B429" s="24"/>
      <c r="C429" s="25"/>
      <c r="D429" s="25"/>
      <c r="E429" s="25"/>
      <c r="F429" s="26"/>
      <c r="G429" s="27"/>
      <c r="H429" s="28"/>
      <c r="I429" s="28"/>
      <c r="J429" s="29"/>
      <c r="K429" s="49"/>
      <c r="L429" s="28"/>
      <c r="M429" s="51"/>
      <c r="N429" t="str">
        <f>IF(K429&gt;0,COUNTIF($K$7:K429,"&gt;0"),"")</f>
      </c>
    </row>
    <row r="430" spans="1:16" customHeight="1" ht="58">
      <c r="A430" s="16"/>
      <c r="B430" s="18" t="s">
        <v>1274</v>
      </c>
      <c r="C430" s="17" t="s">
        <v>1275</v>
      </c>
      <c r="D430" s="17" t="s">
        <v>1276</v>
      </c>
      <c r="E430" s="17" t="s">
        <v>770</v>
      </c>
      <c r="F430" s="19"/>
      <c r="G430" s="20">
        <v>1.0</v>
      </c>
      <c r="H430" s="21">
        <v>242.0</v>
      </c>
      <c r="I430" s="21">
        <v>238.0</v>
      </c>
      <c r="J430" s="22">
        <v>13.0</v>
      </c>
      <c r="K430" s="50"/>
      <c r="L430" s="21" t="str">
        <f>IF(K430&gt;0,K430*I430,"")</f>
      </c>
      <c r="M430" s="52"/>
      <c r="N430" t="str">
        <f>IF(K430&gt;0,COUNTIF($K$7:K430,"&gt;0"),"")</f>
      </c>
      <c r="O430" t="s">
        <v>1277</v>
      </c>
      <c r="P430" t="s">
        <v>1273</v>
      </c>
    </row>
    <row r="431" spans="1:16" customHeight="1" ht="58">
      <c r="A431" s="16"/>
      <c r="B431" s="18" t="s">
        <v>1274</v>
      </c>
      <c r="C431" s="17" t="s">
        <v>1275</v>
      </c>
      <c r="D431" s="17" t="s">
        <v>1279</v>
      </c>
      <c r="E431" s="17" t="s">
        <v>770</v>
      </c>
      <c r="F431" s="19"/>
      <c r="G431" s="20">
        <v>1.0</v>
      </c>
      <c r="H431" s="21">
        <v>242.0</v>
      </c>
      <c r="I431" s="21">
        <v>238.0</v>
      </c>
      <c r="J431" s="22">
        <v>28.0</v>
      </c>
      <c r="K431" s="50"/>
      <c r="L431" s="21" t="str">
        <f>IF(K431&gt;0,K431*I431,"")</f>
      </c>
      <c r="M431" s="52"/>
      <c r="N431" t="str">
        <f>IF(K431&gt;0,COUNTIF($K$7:K431,"&gt;0"),"")</f>
      </c>
      <c r="O431" t="s">
        <v>1280</v>
      </c>
      <c r="P431" t="s">
        <v>1278</v>
      </c>
    </row>
    <row r="432" spans="1:16" customHeight="1" ht="58">
      <c r="A432" s="16"/>
      <c r="B432" s="18" t="s">
        <v>1274</v>
      </c>
      <c r="C432" s="17" t="s">
        <v>1275</v>
      </c>
      <c r="D432" s="17" t="s">
        <v>1282</v>
      </c>
      <c r="E432" s="17" t="s">
        <v>770</v>
      </c>
      <c r="F432" s="19"/>
      <c r="G432" s="20">
        <v>1.0</v>
      </c>
      <c r="H432" s="21">
        <v>242.0</v>
      </c>
      <c r="I432" s="21">
        <v>238.0</v>
      </c>
      <c r="J432" s="22">
        <v>6.0</v>
      </c>
      <c r="K432" s="50"/>
      <c r="L432" s="21" t="str">
        <f>IF(K432&gt;0,K432*I432,"")</f>
      </c>
      <c r="M432" s="52"/>
      <c r="N432" t="str">
        <f>IF(K432&gt;0,COUNTIF($K$7:K432,"&gt;0"),"")</f>
      </c>
      <c r="O432" t="s">
        <v>1283</v>
      </c>
      <c r="P432" t="s">
        <v>1281</v>
      </c>
    </row>
    <row r="433" spans="1:16" customHeight="1" ht="24">
      <c r="A433" s="23" t="s">
        <v>1284</v>
      </c>
      <c r="B433" s="24"/>
      <c r="C433" s="25"/>
      <c r="D433" s="25"/>
      <c r="E433" s="25"/>
      <c r="F433" s="26"/>
      <c r="G433" s="27"/>
      <c r="H433" s="28"/>
      <c r="I433" s="28"/>
      <c r="J433" s="29"/>
      <c r="K433" s="49"/>
      <c r="L433" s="28"/>
      <c r="M433" s="51"/>
      <c r="N433" t="str">
        <f>IF(K433&gt;0,COUNTIF($K$7:K433,"&gt;0"),"")</f>
      </c>
    </row>
    <row r="434" spans="1:16" customHeight="1" ht="58">
      <c r="A434" s="16"/>
      <c r="B434" s="18" t="s">
        <v>1286</v>
      </c>
      <c r="C434" s="17" t="s">
        <v>29</v>
      </c>
      <c r="D434" s="17" t="s">
        <v>883</v>
      </c>
      <c r="E434" s="17" t="s">
        <v>1287</v>
      </c>
      <c r="F434" s="19"/>
      <c r="G434" s="20">
        <v>1.0</v>
      </c>
      <c r="H434" s="21">
        <v>418.0</v>
      </c>
      <c r="I434" s="21">
        <v>266.0</v>
      </c>
      <c r="J434" s="22">
        <v>208.0</v>
      </c>
      <c r="K434" s="50"/>
      <c r="L434" s="21" t="str">
        <f>IF(K434&gt;0,K434*I434,"")</f>
      </c>
      <c r="M434" s="52"/>
      <c r="N434" t="str">
        <f>IF(K434&gt;0,COUNTIF($K$7:K434,"&gt;0"),"")</f>
      </c>
      <c r="O434" t="s">
        <v>1288</v>
      </c>
      <c r="P434" t="s">
        <v>1285</v>
      </c>
    </row>
    <row r="435" spans="1:16" customHeight="1" ht="58">
      <c r="A435" s="16"/>
      <c r="B435" s="18" t="s">
        <v>1290</v>
      </c>
      <c r="C435" s="17" t="s">
        <v>29</v>
      </c>
      <c r="D435" s="17" t="s">
        <v>883</v>
      </c>
      <c r="E435" s="17" t="s">
        <v>1291</v>
      </c>
      <c r="F435" s="19"/>
      <c r="G435" s="20">
        <v>1.0</v>
      </c>
      <c r="H435" s="21">
        <v>682.0</v>
      </c>
      <c r="I435" s="21">
        <v>439.0</v>
      </c>
      <c r="J435" s="22">
        <v>118.0</v>
      </c>
      <c r="K435" s="50"/>
      <c r="L435" s="21" t="str">
        <f>IF(K435&gt;0,K435*I435,"")</f>
      </c>
      <c r="M435" s="52"/>
      <c r="N435" t="str">
        <f>IF(K435&gt;0,COUNTIF($K$7:K435,"&gt;0"),"")</f>
      </c>
      <c r="O435" t="s">
        <v>1292</v>
      </c>
      <c r="P435" t="s">
        <v>1289</v>
      </c>
    </row>
    <row r="437" spans="1:16">
      <c r="I437" s="30" t="s">
        <v>1293</v>
      </c>
      <c r="J437" s="33"/>
      <c r="K437" s="36" t="str">
        <f>COUNTIF(K7:K435,"&gt;0")</f>
      </c>
    </row>
    <row r="438" spans="1:16">
      <c r="I438" s="31" t="s">
        <v>1294</v>
      </c>
      <c r="J438" s="34"/>
      <c r="K438" s="37" t="str">
        <f>SUM(K7:K435)</f>
      </c>
    </row>
    <row r="439" spans="1:16">
      <c r="I439" s="32" t="s">
        <v>1295</v>
      </c>
      <c r="J439" s="35"/>
      <c r="K439" s="38" t="str">
        <f>SUM(L7:L435)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A143:M143"/>
    <mergeCell ref="A272:M272"/>
    <mergeCell ref="A342:M342"/>
    <mergeCell ref="A390:M390"/>
    <mergeCell ref="A416:M416"/>
    <mergeCell ref="A429:M429"/>
    <mergeCell ref="A433:M433"/>
    <mergeCell ref="I437:J437"/>
    <mergeCell ref="I438:J438"/>
    <mergeCell ref="I439:J439"/>
    <mergeCell ref="G5:I5"/>
  </mergeCells>
  <conditionalFormatting sqref="A7:M435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435">
    <cfRule type="expression" dxfId="2" priority="3">
      <formula>AND($K7&gt;$J7,$K7&gt;0)</formula>
    </cfRule>
  </conditionalFormatting>
  <dataValidations count="10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42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44:K188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61:K271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73:K341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343:K389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391:K415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417:K428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430:K432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434:K435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5 упак" sqref="K189:K260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8" r:id="rId_hyperlink_111" tooltip="Открыть карточку товара на сайте" display="Открыть карточку товара на сайте"/>
    <hyperlink ref="B119" r:id="rId_hyperlink_112" tooltip="Открыть карточку товара на сайте" display="Открыть карточку товара на сайте"/>
    <hyperlink ref="B120" r:id="rId_hyperlink_113" tooltip="Открыть карточку товара на сайте" display="Открыть карточку товара на сайте"/>
    <hyperlink ref="B121" r:id="rId_hyperlink_114" tooltip="Открыть карточку товара на сайте" display="Открыть карточку товара на сайте"/>
    <hyperlink ref="B122" r:id="rId_hyperlink_115" tooltip="Открыть карточку товара на сайте" display="Открыть карточку товара на сайте"/>
    <hyperlink ref="B123" r:id="rId_hyperlink_116" tooltip="Открыть карточку товара на сайте" display="Открыть карточку товара на сайте"/>
    <hyperlink ref="B124" r:id="rId_hyperlink_117" tooltip="Открыть карточку товара на сайте" display="Открыть карточку товара на сайте"/>
    <hyperlink ref="B125" r:id="rId_hyperlink_118" tooltip="Открыть карточку товара на сайте" display="Открыть карточку товара на сайте"/>
    <hyperlink ref="B126" r:id="rId_hyperlink_119" tooltip="Открыть карточку товара на сайте" display="Открыть карточку товара на сайте"/>
    <hyperlink ref="B127" r:id="rId_hyperlink_120" tooltip="Открыть карточку товара на сайте" display="Открыть карточку товара на сайте"/>
    <hyperlink ref="B128" r:id="rId_hyperlink_121" tooltip="Открыть карточку товара на сайте" display="Открыть карточку товара на сайте"/>
    <hyperlink ref="B129" r:id="rId_hyperlink_122" tooltip="Открыть карточку товара на сайте" display="Открыть карточку товара на сайте"/>
    <hyperlink ref="B130" r:id="rId_hyperlink_123" tooltip="Открыть карточку товара на сайте" display="Открыть карточку товара на сайте"/>
    <hyperlink ref="B131" r:id="rId_hyperlink_124" tooltip="Открыть карточку товара на сайте" display="Открыть карточку товара на сайте"/>
    <hyperlink ref="B132" r:id="rId_hyperlink_125" tooltip="Открыть карточку товара на сайте" display="Открыть карточку товара на сайте"/>
    <hyperlink ref="B133" r:id="rId_hyperlink_126" tooltip="Открыть карточку товара на сайте" display="Открыть карточку товара на сайте"/>
    <hyperlink ref="B134" r:id="rId_hyperlink_127" tooltip="Открыть карточку товара на сайте" display="Открыть карточку товара на сайте"/>
    <hyperlink ref="B135" r:id="rId_hyperlink_128" tooltip="Открыть карточку товара на сайте" display="Открыть карточку товара на сайте"/>
    <hyperlink ref="B136" r:id="rId_hyperlink_129" tooltip="Открыть карточку товара на сайте" display="Открыть карточку товара на сайте"/>
    <hyperlink ref="B137" r:id="rId_hyperlink_130" tooltip="Открыть карточку товара на сайте" display="Открыть карточку товара на сайте"/>
    <hyperlink ref="B138" r:id="rId_hyperlink_131" tooltip="Открыть карточку товара на сайте" display="Открыть карточку товара на сайте"/>
    <hyperlink ref="B139" r:id="rId_hyperlink_132" tooltip="Открыть карточку товара на сайте" display="Открыть карточку товара на сайте"/>
    <hyperlink ref="B140" r:id="rId_hyperlink_133" tooltip="Открыть карточку товара на сайте" display="Открыть карточку товара на сайте"/>
    <hyperlink ref="B141" r:id="rId_hyperlink_134" tooltip="Открыть карточку товара на сайте" display="Открыть карточку товара на сайте"/>
    <hyperlink ref="B142" r:id="rId_hyperlink_135" tooltip="Открыть карточку товара на сайте" display="Открыть карточку товара на сайте"/>
    <hyperlink ref="B144" r:id="rId_hyperlink_136" tooltip="Открыть карточку товара на сайте" display="Открыть карточку товара на сайте"/>
    <hyperlink ref="B145" r:id="rId_hyperlink_137" tooltip="Открыть карточку товара на сайте" display="Открыть карточку товара на сайте"/>
    <hyperlink ref="B146" r:id="rId_hyperlink_138" tooltip="Открыть карточку товара на сайте" display="Открыть карточку товара на сайте"/>
    <hyperlink ref="B147" r:id="rId_hyperlink_139" tooltip="Открыть карточку товара на сайте" display="Открыть карточку товара на сайте"/>
    <hyperlink ref="B148" r:id="rId_hyperlink_140" tooltip="Открыть карточку товара на сайте" display="Открыть карточку товара на сайте"/>
    <hyperlink ref="B149" r:id="rId_hyperlink_141" tooltip="Открыть карточку товара на сайте" display="Открыть карточку товара на сайте"/>
    <hyperlink ref="B150" r:id="rId_hyperlink_142" tooltip="Открыть карточку товара на сайте" display="Открыть карточку товара на сайте"/>
    <hyperlink ref="B151" r:id="rId_hyperlink_143" tooltip="Открыть карточку товара на сайте" display="Открыть карточку товара на сайте"/>
    <hyperlink ref="B152" r:id="rId_hyperlink_144" tooltip="Открыть карточку товара на сайте" display="Открыть карточку товара на сайте"/>
    <hyperlink ref="B153" r:id="rId_hyperlink_145" tooltip="Открыть карточку товара на сайте" display="Открыть карточку товара на сайте"/>
    <hyperlink ref="B154" r:id="rId_hyperlink_146" tooltip="Открыть карточку товара на сайте" display="Открыть карточку товара на сайте"/>
    <hyperlink ref="B155" r:id="rId_hyperlink_147" tooltip="Открыть карточку товара на сайте" display="Открыть карточку товара на сайте"/>
    <hyperlink ref="B156" r:id="rId_hyperlink_148" tooltip="Открыть карточку товара на сайте" display="Открыть карточку товара на сайте"/>
    <hyperlink ref="B157" r:id="rId_hyperlink_149" tooltip="Открыть карточку товара на сайте" display="Открыть карточку товара на сайте"/>
    <hyperlink ref="B158" r:id="rId_hyperlink_150" tooltip="Открыть карточку товара на сайте" display="Открыть карточку товара на сайте"/>
    <hyperlink ref="B159" r:id="rId_hyperlink_151" tooltip="Открыть карточку товара на сайте" display="Открыть карточку товара на сайте"/>
    <hyperlink ref="B160" r:id="rId_hyperlink_152" tooltip="Открыть карточку товара на сайте" display="Открыть карточку товара на сайте"/>
    <hyperlink ref="B161" r:id="rId_hyperlink_153" tooltip="Открыть карточку товара на сайте" display="Открыть карточку товара на сайте"/>
    <hyperlink ref="B162" r:id="rId_hyperlink_154" tooltip="Открыть карточку товара на сайте" display="Открыть карточку товара на сайте"/>
    <hyperlink ref="B163" r:id="rId_hyperlink_155" tooltip="Открыть карточку товара на сайте" display="Открыть карточку товара на сайте"/>
    <hyperlink ref="B164" r:id="rId_hyperlink_156" tooltip="Открыть карточку товара на сайте" display="Открыть карточку товара на сайте"/>
    <hyperlink ref="B165" r:id="rId_hyperlink_157" tooltip="Открыть карточку товара на сайте" display="Открыть карточку товара на сайте"/>
    <hyperlink ref="B166" r:id="rId_hyperlink_158" tooltip="Открыть карточку товара на сайте" display="Открыть карточку товара на сайте"/>
    <hyperlink ref="B167" r:id="rId_hyperlink_159" tooltip="Открыть карточку товара на сайте" display="Открыть карточку товара на сайте"/>
    <hyperlink ref="B168" r:id="rId_hyperlink_160" tooltip="Открыть карточку товара на сайте" display="Открыть карточку товара на сайте"/>
    <hyperlink ref="B169" r:id="rId_hyperlink_161" tooltip="Открыть карточку товара на сайте" display="Открыть карточку товара на сайте"/>
    <hyperlink ref="B170" r:id="rId_hyperlink_162" tooltip="Открыть карточку товара на сайте" display="Открыть карточку товара на сайте"/>
    <hyperlink ref="B171" r:id="rId_hyperlink_163" tooltip="Открыть карточку товара на сайте" display="Открыть карточку товара на сайте"/>
    <hyperlink ref="B172" r:id="rId_hyperlink_164" tooltip="Открыть карточку товара на сайте" display="Открыть карточку товара на сайте"/>
    <hyperlink ref="B173" r:id="rId_hyperlink_165" tooltip="Открыть карточку товара на сайте" display="Открыть карточку товара на сайте"/>
    <hyperlink ref="B174" r:id="rId_hyperlink_166" tooltip="Открыть карточку товара на сайте" display="Открыть карточку товара на сайте"/>
    <hyperlink ref="B175" r:id="rId_hyperlink_167" tooltip="Открыть карточку товара на сайте" display="Открыть карточку товара на сайте"/>
    <hyperlink ref="B176" r:id="rId_hyperlink_168" tooltip="Открыть карточку товара на сайте" display="Открыть карточку товара на сайте"/>
    <hyperlink ref="B177" r:id="rId_hyperlink_169" tooltip="Открыть карточку товара на сайте" display="Открыть карточку товара на сайте"/>
    <hyperlink ref="B178" r:id="rId_hyperlink_170" tooltip="Открыть карточку товара на сайте" display="Открыть карточку товара на сайте"/>
    <hyperlink ref="B179" r:id="rId_hyperlink_171" tooltip="Открыть карточку товара на сайте" display="Открыть карточку товара на сайте"/>
    <hyperlink ref="B180" r:id="rId_hyperlink_172" tooltip="Открыть карточку товара на сайте" display="Открыть карточку товара на сайте"/>
    <hyperlink ref="B181" r:id="rId_hyperlink_173" tooltip="Открыть карточку товара на сайте" display="Открыть карточку товара на сайте"/>
    <hyperlink ref="B182" r:id="rId_hyperlink_174" tooltip="Открыть карточку товара на сайте" display="Открыть карточку товара на сайте"/>
    <hyperlink ref="B183" r:id="rId_hyperlink_175" tooltip="Открыть карточку товара на сайте" display="Открыть карточку товара на сайте"/>
    <hyperlink ref="B184" r:id="rId_hyperlink_176" tooltip="Открыть карточку товара на сайте" display="Открыть карточку товара на сайте"/>
    <hyperlink ref="B185" r:id="rId_hyperlink_177" tooltip="Открыть карточку товара на сайте" display="Открыть карточку товара на сайте"/>
    <hyperlink ref="B186" r:id="rId_hyperlink_178" tooltip="Открыть карточку товара на сайте" display="Открыть карточку товара на сайте"/>
    <hyperlink ref="B187" r:id="rId_hyperlink_179" tooltip="Открыть карточку товара на сайте" display="Открыть карточку товара на сайте"/>
    <hyperlink ref="B188" r:id="rId_hyperlink_180" tooltip="Открыть карточку товара на сайте" display="Открыть карточку товара на сайте"/>
    <hyperlink ref="B189" r:id="rId_hyperlink_181" tooltip="Открыть карточку товара на сайте" display="Открыть карточку товара на сайте"/>
    <hyperlink ref="B190" r:id="rId_hyperlink_182" tooltip="Открыть карточку товара на сайте" display="Открыть карточку товара на сайте"/>
    <hyperlink ref="B191" r:id="rId_hyperlink_183" tooltip="Открыть карточку товара на сайте" display="Открыть карточку товара на сайте"/>
    <hyperlink ref="B192" r:id="rId_hyperlink_184" tooltip="Открыть карточку товара на сайте" display="Открыть карточку товара на сайте"/>
    <hyperlink ref="B193" r:id="rId_hyperlink_185" tooltip="Открыть карточку товара на сайте" display="Открыть карточку товара на сайте"/>
    <hyperlink ref="B194" r:id="rId_hyperlink_186" tooltip="Открыть карточку товара на сайте" display="Открыть карточку товара на сайте"/>
    <hyperlink ref="B195" r:id="rId_hyperlink_187" tooltip="Открыть карточку товара на сайте" display="Открыть карточку товара на сайте"/>
    <hyperlink ref="B196" r:id="rId_hyperlink_188" tooltip="Открыть карточку товара на сайте" display="Открыть карточку товара на сайте"/>
    <hyperlink ref="B197" r:id="rId_hyperlink_189" tooltip="Открыть карточку товара на сайте" display="Открыть карточку товара на сайте"/>
    <hyperlink ref="B198" r:id="rId_hyperlink_190" tooltip="Открыть карточку товара на сайте" display="Открыть карточку товара на сайте"/>
    <hyperlink ref="B199" r:id="rId_hyperlink_191" tooltip="Открыть карточку товара на сайте" display="Открыть карточку товара на сайте"/>
    <hyperlink ref="B200" r:id="rId_hyperlink_192" tooltip="Открыть карточку товара на сайте" display="Открыть карточку товара на сайте"/>
    <hyperlink ref="B201" r:id="rId_hyperlink_193" tooltip="Открыть карточку товара на сайте" display="Открыть карточку товара на сайте"/>
    <hyperlink ref="B202" r:id="rId_hyperlink_194" tooltip="Открыть карточку товара на сайте" display="Открыть карточку товара на сайте"/>
    <hyperlink ref="B203" r:id="rId_hyperlink_195" tooltip="Открыть карточку товара на сайте" display="Открыть карточку товара на сайте"/>
    <hyperlink ref="B204" r:id="rId_hyperlink_196" tooltip="Открыть карточку товара на сайте" display="Открыть карточку товара на сайте"/>
    <hyperlink ref="B205" r:id="rId_hyperlink_197" tooltip="Открыть карточку товара на сайте" display="Открыть карточку товара на сайте"/>
    <hyperlink ref="B206" r:id="rId_hyperlink_198" tooltip="Открыть карточку товара на сайте" display="Открыть карточку товара на сайте"/>
    <hyperlink ref="B207" r:id="rId_hyperlink_199" tooltip="Открыть карточку товара на сайте" display="Открыть карточку товара на сайте"/>
    <hyperlink ref="B208" r:id="rId_hyperlink_200" tooltip="Открыть карточку товара на сайте" display="Открыть карточку товара на сайте"/>
    <hyperlink ref="B209" r:id="rId_hyperlink_201" tooltip="Открыть карточку товара на сайте" display="Открыть карточку товара на сайте"/>
    <hyperlink ref="B210" r:id="rId_hyperlink_202" tooltip="Открыть карточку товара на сайте" display="Открыть карточку товара на сайте"/>
    <hyperlink ref="B211" r:id="rId_hyperlink_203" tooltip="Открыть карточку товара на сайте" display="Открыть карточку товара на сайте"/>
    <hyperlink ref="B212" r:id="rId_hyperlink_204" tooltip="Открыть карточку товара на сайте" display="Открыть карточку товара на сайте"/>
    <hyperlink ref="B213" r:id="rId_hyperlink_205" tooltip="Открыть карточку товара на сайте" display="Открыть карточку товара на сайте"/>
    <hyperlink ref="B214" r:id="rId_hyperlink_206" tooltip="Открыть карточку товара на сайте" display="Открыть карточку товара на сайте"/>
    <hyperlink ref="B215" r:id="rId_hyperlink_207" tooltip="Открыть карточку товара на сайте" display="Открыть карточку товара на сайте"/>
    <hyperlink ref="B216" r:id="rId_hyperlink_208" tooltip="Открыть карточку товара на сайте" display="Открыть карточку товара на сайте"/>
    <hyperlink ref="B217" r:id="rId_hyperlink_209" tooltip="Открыть карточку товара на сайте" display="Открыть карточку товара на сайте"/>
    <hyperlink ref="B218" r:id="rId_hyperlink_210" tooltip="Открыть карточку товара на сайте" display="Открыть карточку товара на сайте"/>
    <hyperlink ref="B219" r:id="rId_hyperlink_211" tooltip="Открыть карточку товара на сайте" display="Открыть карточку товара на сайте"/>
    <hyperlink ref="B220" r:id="rId_hyperlink_212" tooltip="Открыть карточку товара на сайте" display="Открыть карточку товара на сайте"/>
    <hyperlink ref="B221" r:id="rId_hyperlink_213" tooltip="Открыть карточку товара на сайте" display="Открыть карточку товара на сайте"/>
    <hyperlink ref="B222" r:id="rId_hyperlink_214" tooltip="Открыть карточку товара на сайте" display="Открыть карточку товара на сайте"/>
    <hyperlink ref="B223" r:id="rId_hyperlink_215" tooltip="Открыть карточку товара на сайте" display="Открыть карточку товара на сайте"/>
    <hyperlink ref="B224" r:id="rId_hyperlink_216" tooltip="Открыть карточку товара на сайте" display="Открыть карточку товара на сайте"/>
    <hyperlink ref="B225" r:id="rId_hyperlink_217" tooltip="Открыть карточку товара на сайте" display="Открыть карточку товара на сайте"/>
    <hyperlink ref="B226" r:id="rId_hyperlink_218" tooltip="Открыть карточку товара на сайте" display="Открыть карточку товара на сайте"/>
    <hyperlink ref="B227" r:id="rId_hyperlink_219" tooltip="Открыть карточку товара на сайте" display="Открыть карточку товара на сайте"/>
    <hyperlink ref="B228" r:id="rId_hyperlink_220" tooltip="Открыть карточку товара на сайте" display="Открыть карточку товара на сайте"/>
    <hyperlink ref="B229" r:id="rId_hyperlink_221" tooltip="Открыть карточку товара на сайте" display="Открыть карточку товара на сайте"/>
    <hyperlink ref="B230" r:id="rId_hyperlink_222" tooltip="Открыть карточку товара на сайте" display="Открыть карточку товара на сайте"/>
    <hyperlink ref="B231" r:id="rId_hyperlink_223" tooltip="Открыть карточку товара на сайте" display="Открыть карточку товара на сайте"/>
    <hyperlink ref="B232" r:id="rId_hyperlink_224" tooltip="Открыть карточку товара на сайте" display="Открыть карточку товара на сайте"/>
    <hyperlink ref="B233" r:id="rId_hyperlink_225" tooltip="Открыть карточку товара на сайте" display="Открыть карточку товара на сайте"/>
    <hyperlink ref="B234" r:id="rId_hyperlink_226" tooltip="Открыть карточку товара на сайте" display="Открыть карточку товара на сайте"/>
    <hyperlink ref="B235" r:id="rId_hyperlink_227" tooltip="Открыть карточку товара на сайте" display="Открыть карточку товара на сайте"/>
    <hyperlink ref="B236" r:id="rId_hyperlink_228" tooltip="Открыть карточку товара на сайте" display="Открыть карточку товара на сайте"/>
    <hyperlink ref="B237" r:id="rId_hyperlink_229" tooltip="Открыть карточку товара на сайте" display="Открыть карточку товара на сайте"/>
    <hyperlink ref="B238" r:id="rId_hyperlink_230" tooltip="Открыть карточку товара на сайте" display="Открыть карточку товара на сайте"/>
    <hyperlink ref="B239" r:id="rId_hyperlink_231" tooltip="Открыть карточку товара на сайте" display="Открыть карточку товара на сайте"/>
    <hyperlink ref="B240" r:id="rId_hyperlink_232" tooltip="Открыть карточку товара на сайте" display="Открыть карточку товара на сайте"/>
    <hyperlink ref="B241" r:id="rId_hyperlink_233" tooltip="Открыть карточку товара на сайте" display="Открыть карточку товара на сайте"/>
    <hyperlink ref="B242" r:id="rId_hyperlink_234" tooltip="Открыть карточку товара на сайте" display="Открыть карточку товара на сайте"/>
    <hyperlink ref="B243" r:id="rId_hyperlink_235" tooltip="Открыть карточку товара на сайте" display="Открыть карточку товара на сайте"/>
    <hyperlink ref="B244" r:id="rId_hyperlink_236" tooltip="Открыть карточку товара на сайте" display="Открыть карточку товара на сайте"/>
    <hyperlink ref="B245" r:id="rId_hyperlink_237" tooltip="Открыть карточку товара на сайте" display="Открыть карточку товара на сайте"/>
    <hyperlink ref="B246" r:id="rId_hyperlink_238" tooltip="Открыть карточку товара на сайте" display="Открыть карточку товара на сайте"/>
    <hyperlink ref="B247" r:id="rId_hyperlink_239" tooltip="Открыть карточку товара на сайте" display="Открыть карточку товара на сайте"/>
    <hyperlink ref="B248" r:id="rId_hyperlink_240" tooltip="Открыть карточку товара на сайте" display="Открыть карточку товара на сайте"/>
    <hyperlink ref="B249" r:id="rId_hyperlink_241" tooltip="Открыть карточку товара на сайте" display="Открыть карточку товара на сайте"/>
    <hyperlink ref="B250" r:id="rId_hyperlink_242" tooltip="Открыть карточку товара на сайте" display="Открыть карточку товара на сайте"/>
    <hyperlink ref="B251" r:id="rId_hyperlink_243" tooltip="Открыть карточку товара на сайте" display="Открыть карточку товара на сайте"/>
    <hyperlink ref="B252" r:id="rId_hyperlink_244" tooltip="Открыть карточку товара на сайте" display="Открыть карточку товара на сайте"/>
    <hyperlink ref="B253" r:id="rId_hyperlink_245" tooltip="Открыть карточку товара на сайте" display="Открыть карточку товара на сайте"/>
    <hyperlink ref="B254" r:id="rId_hyperlink_246" tooltip="Открыть карточку товара на сайте" display="Открыть карточку товара на сайте"/>
    <hyperlink ref="B255" r:id="rId_hyperlink_247" tooltip="Открыть карточку товара на сайте" display="Открыть карточку товара на сайте"/>
    <hyperlink ref="B256" r:id="rId_hyperlink_248" tooltip="Открыть карточку товара на сайте" display="Открыть карточку товара на сайте"/>
    <hyperlink ref="B257" r:id="rId_hyperlink_249" tooltip="Открыть карточку товара на сайте" display="Открыть карточку товара на сайте"/>
    <hyperlink ref="B258" r:id="rId_hyperlink_250" tooltip="Открыть карточку товара на сайте" display="Открыть карточку товара на сайте"/>
    <hyperlink ref="B259" r:id="rId_hyperlink_251" tooltip="Открыть карточку товара на сайте" display="Открыть карточку товара на сайте"/>
    <hyperlink ref="B260" r:id="rId_hyperlink_252" tooltip="Открыть карточку товара на сайте" display="Открыть карточку товара на сайте"/>
    <hyperlink ref="B261" r:id="rId_hyperlink_253" tooltip="Открыть карточку товара на сайте" display="Открыть карточку товара на сайте"/>
    <hyperlink ref="B262" r:id="rId_hyperlink_254" tooltip="Открыть карточку товара на сайте" display="Открыть карточку товара на сайте"/>
    <hyperlink ref="B263" r:id="rId_hyperlink_255" tooltip="Открыть карточку товара на сайте" display="Открыть карточку товара на сайте"/>
    <hyperlink ref="B264" r:id="rId_hyperlink_256" tooltip="Открыть карточку товара на сайте" display="Открыть карточку товара на сайте"/>
    <hyperlink ref="B265" r:id="rId_hyperlink_257" tooltip="Открыть карточку товара на сайте" display="Открыть карточку товара на сайте"/>
    <hyperlink ref="B266" r:id="rId_hyperlink_258" tooltip="Открыть карточку товара на сайте" display="Открыть карточку товара на сайте"/>
    <hyperlink ref="B267" r:id="rId_hyperlink_259" tooltip="Открыть карточку товара на сайте" display="Открыть карточку товара на сайте"/>
    <hyperlink ref="B268" r:id="rId_hyperlink_260" tooltip="Открыть карточку товара на сайте" display="Открыть карточку товара на сайте"/>
    <hyperlink ref="B269" r:id="rId_hyperlink_261" tooltip="Открыть карточку товара на сайте" display="Открыть карточку товара на сайте"/>
    <hyperlink ref="B270" r:id="rId_hyperlink_262" tooltip="Открыть карточку товара на сайте" display="Открыть карточку товара на сайте"/>
    <hyperlink ref="B271" r:id="rId_hyperlink_263" tooltip="Открыть карточку товара на сайте" display="Открыть карточку товара на сайте"/>
    <hyperlink ref="B273" r:id="rId_hyperlink_264" tooltip="Открыть карточку товара на сайте" display="Открыть карточку товара на сайте"/>
    <hyperlink ref="B274" r:id="rId_hyperlink_265" tooltip="Открыть карточку товара на сайте" display="Открыть карточку товара на сайте"/>
    <hyperlink ref="B275" r:id="rId_hyperlink_266" tooltip="Открыть карточку товара на сайте" display="Открыть карточку товара на сайте"/>
    <hyperlink ref="B276" r:id="rId_hyperlink_267" tooltip="Открыть карточку товара на сайте" display="Открыть карточку товара на сайте"/>
    <hyperlink ref="B277" r:id="rId_hyperlink_268" tooltip="Открыть карточку товара на сайте" display="Открыть карточку товара на сайте"/>
    <hyperlink ref="B278" r:id="rId_hyperlink_269" tooltip="Открыть карточку товара на сайте" display="Открыть карточку товара на сайте"/>
    <hyperlink ref="B279" r:id="rId_hyperlink_270" tooltip="Открыть карточку товара на сайте" display="Открыть карточку товара на сайте"/>
    <hyperlink ref="B280" r:id="rId_hyperlink_271" tooltip="Открыть карточку товара на сайте" display="Открыть карточку товара на сайте"/>
    <hyperlink ref="B281" r:id="rId_hyperlink_272" tooltip="Открыть карточку товара на сайте" display="Открыть карточку товара на сайте"/>
    <hyperlink ref="B282" r:id="rId_hyperlink_273" tooltip="Открыть карточку товара на сайте" display="Открыть карточку товара на сайте"/>
    <hyperlink ref="B283" r:id="rId_hyperlink_274" tooltip="Открыть карточку товара на сайте" display="Открыть карточку товара на сайте"/>
    <hyperlink ref="B284" r:id="rId_hyperlink_275" tooltip="Открыть карточку товара на сайте" display="Открыть карточку товара на сайте"/>
    <hyperlink ref="B285" r:id="rId_hyperlink_276" tooltip="Открыть карточку товара на сайте" display="Открыть карточку товара на сайте"/>
    <hyperlink ref="B286" r:id="rId_hyperlink_277" tooltip="Открыть карточку товара на сайте" display="Открыть карточку товара на сайте"/>
    <hyperlink ref="B287" r:id="rId_hyperlink_278" tooltip="Открыть карточку товара на сайте" display="Открыть карточку товара на сайте"/>
    <hyperlink ref="B288" r:id="rId_hyperlink_279" tooltip="Открыть карточку товара на сайте" display="Открыть карточку товара на сайте"/>
    <hyperlink ref="B289" r:id="rId_hyperlink_280" tooltip="Открыть карточку товара на сайте" display="Открыть карточку товара на сайте"/>
    <hyperlink ref="B290" r:id="rId_hyperlink_281" tooltip="Открыть карточку товара на сайте" display="Открыть карточку товара на сайте"/>
    <hyperlink ref="B291" r:id="rId_hyperlink_282" tooltip="Открыть карточку товара на сайте" display="Открыть карточку товара на сайте"/>
    <hyperlink ref="B292" r:id="rId_hyperlink_283" tooltip="Открыть карточку товара на сайте" display="Открыть карточку товара на сайте"/>
    <hyperlink ref="B293" r:id="rId_hyperlink_284" tooltip="Открыть карточку товара на сайте" display="Открыть карточку товара на сайте"/>
    <hyperlink ref="B294" r:id="rId_hyperlink_285" tooltip="Открыть карточку товара на сайте" display="Открыть карточку товара на сайте"/>
    <hyperlink ref="B295" r:id="rId_hyperlink_286" tooltip="Открыть карточку товара на сайте" display="Открыть карточку товара на сайте"/>
    <hyperlink ref="B296" r:id="rId_hyperlink_287" tooltip="Открыть карточку товара на сайте" display="Открыть карточку товара на сайте"/>
    <hyperlink ref="B297" r:id="rId_hyperlink_288" tooltip="Открыть карточку товара на сайте" display="Открыть карточку товара на сайте"/>
    <hyperlink ref="B298" r:id="rId_hyperlink_289" tooltip="Открыть карточку товара на сайте" display="Открыть карточку товара на сайте"/>
    <hyperlink ref="B299" r:id="rId_hyperlink_290" tooltip="Открыть карточку товара на сайте" display="Открыть карточку товара на сайте"/>
    <hyperlink ref="B300" r:id="rId_hyperlink_291" tooltip="Открыть карточку товара на сайте" display="Открыть карточку товара на сайте"/>
    <hyperlink ref="B301" r:id="rId_hyperlink_292" tooltip="Открыть карточку товара на сайте" display="Открыть карточку товара на сайте"/>
    <hyperlink ref="B302" r:id="rId_hyperlink_293" tooltip="Открыть карточку товара на сайте" display="Открыть карточку товара на сайте"/>
    <hyperlink ref="B303" r:id="rId_hyperlink_294" tooltip="Открыть карточку товара на сайте" display="Открыть карточку товара на сайте"/>
    <hyperlink ref="B304" r:id="rId_hyperlink_295" tooltip="Открыть карточку товара на сайте" display="Открыть карточку товара на сайте"/>
    <hyperlink ref="B305" r:id="rId_hyperlink_296" tooltip="Открыть карточку товара на сайте" display="Открыть карточку товара на сайте"/>
    <hyperlink ref="B306" r:id="rId_hyperlink_297" tooltip="Открыть карточку товара на сайте" display="Открыть карточку товара на сайте"/>
    <hyperlink ref="B307" r:id="rId_hyperlink_298" tooltip="Открыть карточку товара на сайте" display="Открыть карточку товара на сайте"/>
    <hyperlink ref="B308" r:id="rId_hyperlink_299" tooltip="Открыть карточку товара на сайте" display="Открыть карточку товара на сайте"/>
    <hyperlink ref="B309" r:id="rId_hyperlink_300" tooltip="Открыть карточку товара на сайте" display="Открыть карточку товара на сайте"/>
    <hyperlink ref="B310" r:id="rId_hyperlink_301" tooltip="Открыть карточку товара на сайте" display="Открыть карточку товара на сайте"/>
    <hyperlink ref="B311" r:id="rId_hyperlink_302" tooltip="Открыть карточку товара на сайте" display="Открыть карточку товара на сайте"/>
    <hyperlink ref="B312" r:id="rId_hyperlink_303" tooltip="Открыть карточку товара на сайте" display="Открыть карточку товара на сайте"/>
    <hyperlink ref="B313" r:id="rId_hyperlink_304" tooltip="Открыть карточку товара на сайте" display="Открыть карточку товара на сайте"/>
    <hyperlink ref="B314" r:id="rId_hyperlink_305" tooltip="Открыть карточку товара на сайте" display="Открыть карточку товара на сайте"/>
    <hyperlink ref="B315" r:id="rId_hyperlink_306" tooltip="Открыть карточку товара на сайте" display="Открыть карточку товара на сайте"/>
    <hyperlink ref="B316" r:id="rId_hyperlink_307" tooltip="Открыть карточку товара на сайте" display="Открыть карточку товара на сайте"/>
    <hyperlink ref="B317" r:id="rId_hyperlink_308" tooltip="Открыть карточку товара на сайте" display="Открыть карточку товара на сайте"/>
    <hyperlink ref="B318" r:id="rId_hyperlink_309" tooltip="Открыть карточку товара на сайте" display="Открыть карточку товара на сайте"/>
    <hyperlink ref="B319" r:id="rId_hyperlink_310" tooltip="Открыть карточку товара на сайте" display="Открыть карточку товара на сайте"/>
    <hyperlink ref="B320" r:id="rId_hyperlink_311" tooltip="Открыть карточку товара на сайте" display="Открыть карточку товара на сайте"/>
    <hyperlink ref="B321" r:id="rId_hyperlink_312" tooltip="Открыть карточку товара на сайте" display="Открыть карточку товара на сайте"/>
    <hyperlink ref="B322" r:id="rId_hyperlink_313" tooltip="Открыть карточку товара на сайте" display="Открыть карточку товара на сайте"/>
    <hyperlink ref="B323" r:id="rId_hyperlink_314" tooltip="Открыть карточку товара на сайте" display="Открыть карточку товара на сайте"/>
    <hyperlink ref="B324" r:id="rId_hyperlink_315" tooltip="Открыть карточку товара на сайте" display="Открыть карточку товара на сайте"/>
    <hyperlink ref="B325" r:id="rId_hyperlink_316" tooltip="Открыть карточку товара на сайте" display="Открыть карточку товара на сайте"/>
    <hyperlink ref="B326" r:id="rId_hyperlink_317" tooltip="Открыть карточку товара на сайте" display="Открыть карточку товара на сайте"/>
    <hyperlink ref="B327" r:id="rId_hyperlink_318" tooltip="Открыть карточку товара на сайте" display="Открыть карточку товара на сайте"/>
    <hyperlink ref="B328" r:id="rId_hyperlink_319" tooltip="Открыть карточку товара на сайте" display="Открыть карточку товара на сайте"/>
    <hyperlink ref="B329" r:id="rId_hyperlink_320" tooltip="Открыть карточку товара на сайте" display="Открыть карточку товара на сайте"/>
    <hyperlink ref="B330" r:id="rId_hyperlink_321" tooltip="Открыть карточку товара на сайте" display="Открыть карточку товара на сайте"/>
    <hyperlink ref="B331" r:id="rId_hyperlink_322" tooltip="Открыть карточку товара на сайте" display="Открыть карточку товара на сайте"/>
    <hyperlink ref="B332" r:id="rId_hyperlink_323" tooltip="Открыть карточку товара на сайте" display="Открыть карточку товара на сайте"/>
    <hyperlink ref="B333" r:id="rId_hyperlink_324" tooltip="Открыть карточку товара на сайте" display="Открыть карточку товара на сайте"/>
    <hyperlink ref="B334" r:id="rId_hyperlink_325" tooltip="Открыть карточку товара на сайте" display="Открыть карточку товара на сайте"/>
    <hyperlink ref="B335" r:id="rId_hyperlink_326" tooltip="Открыть карточку товара на сайте" display="Открыть карточку товара на сайте"/>
    <hyperlink ref="B336" r:id="rId_hyperlink_327" tooltip="Открыть карточку товара на сайте" display="Открыть карточку товара на сайте"/>
    <hyperlink ref="B337" r:id="rId_hyperlink_328" tooltip="Открыть карточку товара на сайте" display="Открыть карточку товара на сайте"/>
    <hyperlink ref="B338" r:id="rId_hyperlink_329" tooltip="Открыть карточку товара на сайте" display="Открыть карточку товара на сайте"/>
    <hyperlink ref="B339" r:id="rId_hyperlink_330" tooltip="Открыть карточку товара на сайте" display="Открыть карточку товара на сайте"/>
    <hyperlink ref="B340" r:id="rId_hyperlink_331" tooltip="Открыть карточку товара на сайте" display="Открыть карточку товара на сайте"/>
    <hyperlink ref="B341" r:id="rId_hyperlink_332" tooltip="Открыть карточку товара на сайте" display="Открыть карточку товара на сайте"/>
    <hyperlink ref="B343" r:id="rId_hyperlink_333" tooltip="Открыть карточку товара на сайте" display="Открыть карточку товара на сайте"/>
    <hyperlink ref="B344" r:id="rId_hyperlink_334" tooltip="Открыть карточку товара на сайте" display="Открыть карточку товара на сайте"/>
    <hyperlink ref="B345" r:id="rId_hyperlink_335" tooltip="Открыть карточку товара на сайте" display="Открыть карточку товара на сайте"/>
    <hyperlink ref="B346" r:id="rId_hyperlink_336" tooltip="Открыть карточку товара на сайте" display="Открыть карточку товара на сайте"/>
    <hyperlink ref="B347" r:id="rId_hyperlink_337" tooltip="Открыть карточку товара на сайте" display="Открыть карточку товара на сайте"/>
    <hyperlink ref="B348" r:id="rId_hyperlink_338" tooltip="Открыть карточку товара на сайте" display="Открыть карточку товара на сайте"/>
    <hyperlink ref="B349" r:id="rId_hyperlink_339" tooltip="Открыть карточку товара на сайте" display="Открыть карточку товара на сайте"/>
    <hyperlink ref="B350" r:id="rId_hyperlink_340" tooltip="Открыть карточку товара на сайте" display="Открыть карточку товара на сайте"/>
    <hyperlink ref="B351" r:id="rId_hyperlink_341" tooltip="Открыть карточку товара на сайте" display="Открыть карточку товара на сайте"/>
    <hyperlink ref="B352" r:id="rId_hyperlink_342" tooltip="Открыть карточку товара на сайте" display="Открыть карточку товара на сайте"/>
    <hyperlink ref="B353" r:id="rId_hyperlink_343" tooltip="Открыть карточку товара на сайте" display="Открыть карточку товара на сайте"/>
    <hyperlink ref="B354" r:id="rId_hyperlink_344" tooltip="Открыть карточку товара на сайте" display="Открыть карточку товара на сайте"/>
    <hyperlink ref="B355" r:id="rId_hyperlink_345" tooltip="Открыть карточку товара на сайте" display="Открыть карточку товара на сайте"/>
    <hyperlink ref="B356" r:id="rId_hyperlink_346" tooltip="Открыть карточку товара на сайте" display="Открыть карточку товара на сайте"/>
    <hyperlink ref="B357" r:id="rId_hyperlink_347" tooltip="Открыть карточку товара на сайте" display="Открыть карточку товара на сайте"/>
    <hyperlink ref="B358" r:id="rId_hyperlink_348" tooltip="Открыть карточку товара на сайте" display="Открыть карточку товара на сайте"/>
    <hyperlink ref="B359" r:id="rId_hyperlink_349" tooltip="Открыть карточку товара на сайте" display="Открыть карточку товара на сайте"/>
    <hyperlink ref="B360" r:id="rId_hyperlink_350" tooltip="Открыть карточку товара на сайте" display="Открыть карточку товара на сайте"/>
    <hyperlink ref="B361" r:id="rId_hyperlink_351" tooltip="Открыть карточку товара на сайте" display="Открыть карточку товара на сайте"/>
    <hyperlink ref="B362" r:id="rId_hyperlink_352" tooltip="Открыть карточку товара на сайте" display="Открыть карточку товара на сайте"/>
    <hyperlink ref="B363" r:id="rId_hyperlink_353" tooltip="Открыть карточку товара на сайте" display="Открыть карточку товара на сайте"/>
    <hyperlink ref="B364" r:id="rId_hyperlink_354" tooltip="Открыть карточку товара на сайте" display="Открыть карточку товара на сайте"/>
    <hyperlink ref="B365" r:id="rId_hyperlink_355" tooltip="Открыть карточку товара на сайте" display="Открыть карточку товара на сайте"/>
    <hyperlink ref="B366" r:id="rId_hyperlink_356" tooltip="Открыть карточку товара на сайте" display="Открыть карточку товара на сайте"/>
    <hyperlink ref="B367" r:id="rId_hyperlink_357" tooltip="Открыть карточку товара на сайте" display="Открыть карточку товара на сайте"/>
    <hyperlink ref="B368" r:id="rId_hyperlink_358" tooltip="Открыть карточку товара на сайте" display="Открыть карточку товара на сайте"/>
    <hyperlink ref="B369" r:id="rId_hyperlink_359" tooltip="Открыть карточку товара на сайте" display="Открыть карточку товара на сайте"/>
    <hyperlink ref="B370" r:id="rId_hyperlink_360" tooltip="Открыть карточку товара на сайте" display="Открыть карточку товара на сайте"/>
    <hyperlink ref="B371" r:id="rId_hyperlink_361" tooltip="Открыть карточку товара на сайте" display="Открыть карточку товара на сайте"/>
    <hyperlink ref="B372" r:id="rId_hyperlink_362" tooltip="Открыть карточку товара на сайте" display="Открыть карточку товара на сайте"/>
    <hyperlink ref="B373" r:id="rId_hyperlink_363" tooltip="Открыть карточку товара на сайте" display="Открыть карточку товара на сайте"/>
    <hyperlink ref="B374" r:id="rId_hyperlink_364" tooltip="Открыть карточку товара на сайте" display="Открыть карточку товара на сайте"/>
    <hyperlink ref="B375" r:id="rId_hyperlink_365" tooltip="Открыть карточку товара на сайте" display="Открыть карточку товара на сайте"/>
    <hyperlink ref="B376" r:id="rId_hyperlink_366" tooltip="Открыть карточку товара на сайте" display="Открыть карточку товара на сайте"/>
    <hyperlink ref="B377" r:id="rId_hyperlink_367" tooltip="Открыть карточку товара на сайте" display="Открыть карточку товара на сайте"/>
    <hyperlink ref="B378" r:id="rId_hyperlink_368" tooltip="Открыть карточку товара на сайте" display="Открыть карточку товара на сайте"/>
    <hyperlink ref="B379" r:id="rId_hyperlink_369" tooltip="Открыть карточку товара на сайте" display="Открыть карточку товара на сайте"/>
    <hyperlink ref="B380" r:id="rId_hyperlink_370" tooltip="Открыть карточку товара на сайте" display="Открыть карточку товара на сайте"/>
    <hyperlink ref="B381" r:id="rId_hyperlink_371" tooltip="Открыть карточку товара на сайте" display="Открыть карточку товара на сайте"/>
    <hyperlink ref="B382" r:id="rId_hyperlink_372" tooltip="Открыть карточку товара на сайте" display="Открыть карточку товара на сайте"/>
    <hyperlink ref="B383" r:id="rId_hyperlink_373" tooltip="Открыть карточку товара на сайте" display="Открыть карточку товара на сайте"/>
    <hyperlink ref="B384" r:id="rId_hyperlink_374" tooltip="Открыть карточку товара на сайте" display="Открыть карточку товара на сайте"/>
    <hyperlink ref="B385" r:id="rId_hyperlink_375" tooltip="Открыть карточку товара на сайте" display="Открыть карточку товара на сайте"/>
    <hyperlink ref="B386" r:id="rId_hyperlink_376" tooltip="Открыть карточку товара на сайте" display="Открыть карточку товара на сайте"/>
    <hyperlink ref="B387" r:id="rId_hyperlink_377" tooltip="Открыть карточку товара на сайте" display="Открыть карточку товара на сайте"/>
    <hyperlink ref="B388" r:id="rId_hyperlink_378" tooltip="Открыть карточку товара на сайте" display="Открыть карточку товара на сайте"/>
    <hyperlink ref="B389" r:id="rId_hyperlink_379" tooltip="Открыть карточку товара на сайте" display="Открыть карточку товара на сайте"/>
    <hyperlink ref="B391" r:id="rId_hyperlink_380" tooltip="Открыть карточку товара на сайте" display="Открыть карточку товара на сайте"/>
    <hyperlink ref="B392" r:id="rId_hyperlink_381" tooltip="Открыть карточку товара на сайте" display="Открыть карточку товара на сайте"/>
    <hyperlink ref="B393" r:id="rId_hyperlink_382" tooltip="Открыть карточку товара на сайте" display="Открыть карточку товара на сайте"/>
    <hyperlink ref="B394" r:id="rId_hyperlink_383" tooltip="Открыть карточку товара на сайте" display="Открыть карточку товара на сайте"/>
    <hyperlink ref="B395" r:id="rId_hyperlink_384" tooltip="Открыть карточку товара на сайте" display="Открыть карточку товара на сайте"/>
    <hyperlink ref="B396" r:id="rId_hyperlink_385" tooltip="Открыть карточку товара на сайте" display="Открыть карточку товара на сайте"/>
    <hyperlink ref="B397" r:id="rId_hyperlink_386" tooltip="Открыть карточку товара на сайте" display="Открыть карточку товара на сайте"/>
    <hyperlink ref="B398" r:id="rId_hyperlink_387" tooltip="Открыть карточку товара на сайте" display="Открыть карточку товара на сайте"/>
    <hyperlink ref="B399" r:id="rId_hyperlink_388" tooltip="Открыть карточку товара на сайте" display="Открыть карточку товара на сайте"/>
    <hyperlink ref="B400" r:id="rId_hyperlink_389" tooltip="Открыть карточку товара на сайте" display="Открыть карточку товара на сайте"/>
    <hyperlink ref="B401" r:id="rId_hyperlink_390" tooltip="Открыть карточку товара на сайте" display="Открыть карточку товара на сайте"/>
    <hyperlink ref="B402" r:id="rId_hyperlink_391" tooltip="Открыть карточку товара на сайте" display="Открыть карточку товара на сайте"/>
    <hyperlink ref="B403" r:id="rId_hyperlink_392" tooltip="Открыть карточку товара на сайте" display="Открыть карточку товара на сайте"/>
    <hyperlink ref="B404" r:id="rId_hyperlink_393" tooltip="Открыть карточку товара на сайте" display="Открыть карточку товара на сайте"/>
    <hyperlink ref="B405" r:id="rId_hyperlink_394" tooltip="Открыть карточку товара на сайте" display="Открыть карточку товара на сайте"/>
    <hyperlink ref="B406" r:id="rId_hyperlink_395" tooltip="Открыть карточку товара на сайте" display="Открыть карточку товара на сайте"/>
    <hyperlink ref="B407" r:id="rId_hyperlink_396" tooltip="Открыть карточку товара на сайте" display="Открыть карточку товара на сайте"/>
    <hyperlink ref="B408" r:id="rId_hyperlink_397" tooltip="Открыть карточку товара на сайте" display="Открыть карточку товара на сайте"/>
    <hyperlink ref="B409" r:id="rId_hyperlink_398" tooltip="Открыть карточку товара на сайте" display="Открыть карточку товара на сайте"/>
    <hyperlink ref="B410" r:id="rId_hyperlink_399" tooltip="Открыть карточку товара на сайте" display="Открыть карточку товара на сайте"/>
    <hyperlink ref="B411" r:id="rId_hyperlink_400" tooltip="Открыть карточку товара на сайте" display="Открыть карточку товара на сайте"/>
    <hyperlink ref="B412" r:id="rId_hyperlink_401" tooltip="Открыть карточку товара на сайте" display="Открыть карточку товара на сайте"/>
    <hyperlink ref="B413" r:id="rId_hyperlink_402" tooltip="Открыть карточку товара на сайте" display="Открыть карточку товара на сайте"/>
    <hyperlink ref="B414" r:id="rId_hyperlink_403" tooltip="Открыть карточку товара на сайте" display="Открыть карточку товара на сайте"/>
    <hyperlink ref="B415" r:id="rId_hyperlink_404" tooltip="Открыть карточку товара на сайте" display="Открыть карточку товара на сайте"/>
    <hyperlink ref="B417" r:id="rId_hyperlink_405" tooltip="Открыть карточку товара на сайте" display="Открыть карточку товара на сайте"/>
    <hyperlink ref="B418" r:id="rId_hyperlink_406" tooltip="Открыть карточку товара на сайте" display="Открыть карточку товара на сайте"/>
    <hyperlink ref="B419" r:id="rId_hyperlink_407" tooltip="Открыть карточку товара на сайте" display="Открыть карточку товара на сайте"/>
    <hyperlink ref="B420" r:id="rId_hyperlink_408" tooltip="Открыть карточку товара на сайте" display="Открыть карточку товара на сайте"/>
    <hyperlink ref="B421" r:id="rId_hyperlink_409" tooltip="Открыть карточку товара на сайте" display="Открыть карточку товара на сайте"/>
    <hyperlink ref="B422" r:id="rId_hyperlink_410" tooltip="Открыть карточку товара на сайте" display="Открыть карточку товара на сайте"/>
    <hyperlink ref="B423" r:id="rId_hyperlink_411" tooltip="Открыть карточку товара на сайте" display="Открыть карточку товара на сайте"/>
    <hyperlink ref="B424" r:id="rId_hyperlink_412" tooltip="Открыть карточку товара на сайте" display="Открыть карточку товара на сайте"/>
    <hyperlink ref="B425" r:id="rId_hyperlink_413" tooltip="Открыть карточку товара на сайте" display="Открыть карточку товара на сайте"/>
    <hyperlink ref="B426" r:id="rId_hyperlink_414" tooltip="Открыть карточку товара на сайте" display="Открыть карточку товара на сайте"/>
    <hyperlink ref="B427" r:id="rId_hyperlink_415" tooltip="Открыть карточку товара на сайте" display="Открыть карточку товара на сайте"/>
    <hyperlink ref="B428" r:id="rId_hyperlink_416" tooltip="Открыть карточку товара на сайте" display="Открыть карточку товара на сайте"/>
    <hyperlink ref="B430" r:id="rId_hyperlink_417" tooltip="Открыть карточку товара на сайте" display="Открыть карточку товара на сайте"/>
    <hyperlink ref="B431" r:id="rId_hyperlink_418" tooltip="Открыть карточку товара на сайте" display="Открыть карточку товара на сайте"/>
    <hyperlink ref="B432" r:id="rId_hyperlink_419" tooltip="Открыть карточку товара на сайте" display="Открыть карточку товара на сайте"/>
    <hyperlink ref="B434" r:id="rId_hyperlink_420" tooltip="Открыть карточку товара на сайте" display="Открыть карточку товара на сайте"/>
    <hyperlink ref="B435" r:id="rId_hyperlink_421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29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</cols>
  <sheetData>
    <row r="1" spans="1:11" customHeight="1" ht="28">
      <c r="A1" s="53" t="s">
        <v>1298</v>
      </c>
    </row>
    <row r="2" spans="1:11" customHeight="1" ht="26">
      <c r="A2" s="54" t="s">
        <v>1299</v>
      </c>
    </row>
    <row r="3" spans="1:11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1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1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1" customHeight="1" ht="22">
      <c r="A6" s="55" t="s">
        <v>1300</v>
      </c>
      <c r="B6" s="56"/>
      <c r="C6" s="57" t="str">
        <f>'Прайс и заказ'!K437</f>
      </c>
      <c r="D6" s="58" t="s">
        <v>1294</v>
      </c>
      <c r="E6" s="56"/>
      <c r="F6" s="57" t="str">
        <f>'Прайс и заказ'!K438</f>
      </c>
      <c r="G6" s="58" t="s">
        <v>1295</v>
      </c>
      <c r="H6" s="56"/>
      <c r="I6" s="59" t="str">
        <f>'Прайс и заказ'!K439</f>
      </c>
    </row>
    <row r="8" spans="1:11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1301</v>
      </c>
      <c r="G8" s="60" t="s">
        <v>24</v>
      </c>
      <c r="H8" s="60" t="s">
        <v>25</v>
      </c>
      <c r="I8" s="60" t="s">
        <v>5</v>
      </c>
      <c r="J8" s="40" t="s">
        <v>1296</v>
      </c>
    </row>
    <row r="9" spans="1:11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заказ'!$N$7:$N$435,0)+6,0)</f>
      </c>
      <c r="K9" s="65" t="str">
        <f>IF($J9=0,"← Пока ничего не выбрано — заполните колонку «Заказать» на листе «Прайс и заказ»","")</f>
      </c>
    </row>
    <row r="10" spans="1:11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заказ'!$N$7:$N$435,0)+6,0)</f>
      </c>
    </row>
    <row r="11" spans="1:11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заказ'!$N$7:$N$435,0)+6,0)</f>
      </c>
    </row>
    <row r="12" spans="1:11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заказ'!$N$7:$N$435,0)+6,0)</f>
      </c>
    </row>
    <row r="13" spans="1:11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заказ'!$N$7:$N$435,0)+6,0)</f>
      </c>
    </row>
    <row r="14" spans="1:11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заказ'!$N$7:$N$435,0)+6,0)</f>
      </c>
    </row>
    <row r="15" spans="1:11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заказ'!$N$7:$N$435,0)+6,0)</f>
      </c>
    </row>
    <row r="16" spans="1:11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заказ'!$N$7:$N$435,0)+6,0)</f>
      </c>
    </row>
    <row r="17" spans="1:11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заказ'!$N$7:$N$435,0)+6,0)</f>
      </c>
    </row>
    <row r="18" spans="1:11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заказ'!$N$7:$N$435,0)+6,0)</f>
      </c>
    </row>
    <row r="19" spans="1:11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заказ'!$N$7:$N$435,0)+6,0)</f>
      </c>
    </row>
    <row r="20" spans="1:11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заказ'!$N$7:$N$435,0)+6,0)</f>
      </c>
    </row>
    <row r="21" spans="1:11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заказ'!$N$7:$N$435,0)+6,0)</f>
      </c>
    </row>
    <row r="22" spans="1:11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заказ'!$N$7:$N$435,0)+6,0)</f>
      </c>
    </row>
    <row r="23" spans="1:11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заказ'!$N$7:$N$435,0)+6,0)</f>
      </c>
    </row>
    <row r="24" spans="1:11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заказ'!$N$7:$N$435,0)+6,0)</f>
      </c>
    </row>
    <row r="25" spans="1:11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заказ'!$N$7:$N$435,0)+6,0)</f>
      </c>
    </row>
    <row r="26" spans="1:11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заказ'!$N$7:$N$435,0)+6,0)</f>
      </c>
    </row>
    <row r="27" spans="1:11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заказ'!$N$7:$N$435,0)+6,0)</f>
      </c>
    </row>
    <row r="28" spans="1:11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заказ'!$N$7:$N$435,0)+6,0)</f>
      </c>
    </row>
    <row r="29" spans="1:11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заказ'!$N$7:$N$435,0)+6,0)</f>
      </c>
    </row>
    <row r="30" spans="1:11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заказ'!$N$7:$N$435,0)+6,0)</f>
      </c>
    </row>
    <row r="31" spans="1:11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заказ'!$N$7:$N$435,0)+6,0)</f>
      </c>
    </row>
    <row r="32" spans="1:11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заказ'!$N$7:$N$435,0)+6,0)</f>
      </c>
    </row>
    <row r="33" spans="1:11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заказ'!$N$7:$N$435,0)+6,0)</f>
      </c>
    </row>
    <row r="34" spans="1:11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заказ'!$N$7:$N$435,0)+6,0)</f>
      </c>
    </row>
    <row r="35" spans="1:11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заказ'!$N$7:$N$435,0)+6,0)</f>
      </c>
    </row>
    <row r="36" spans="1:11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заказ'!$N$7:$N$435,0)+6,0)</f>
      </c>
    </row>
    <row r="37" spans="1:11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заказ'!$N$7:$N$435,0)+6,0)</f>
      </c>
    </row>
    <row r="38" spans="1:11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заказ'!$N$7:$N$435,0)+6,0)</f>
      </c>
    </row>
    <row r="39" spans="1:11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заказ'!$N$7:$N$435,0)+6,0)</f>
      </c>
    </row>
    <row r="40" spans="1:11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заказ'!$N$7:$N$435,0)+6,0)</f>
      </c>
    </row>
    <row r="41" spans="1:11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заказ'!$N$7:$N$435,0)+6,0)</f>
      </c>
    </row>
    <row r="42" spans="1:11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заказ'!$N$7:$N$435,0)+6,0)</f>
      </c>
    </row>
    <row r="43" spans="1:11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заказ'!$N$7:$N$435,0)+6,0)</f>
      </c>
    </row>
    <row r="44" spans="1:11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заказ'!$N$7:$N$435,0)+6,0)</f>
      </c>
    </row>
    <row r="45" spans="1:11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заказ'!$N$7:$N$435,0)+6,0)</f>
      </c>
    </row>
    <row r="46" spans="1:11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заказ'!$N$7:$N$435,0)+6,0)</f>
      </c>
    </row>
    <row r="47" spans="1:11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заказ'!$N$7:$N$435,0)+6,0)</f>
      </c>
    </row>
    <row r="48" spans="1:11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заказ'!$N$7:$N$435,0)+6,0)</f>
      </c>
    </row>
    <row r="49" spans="1:11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заказ'!$N$7:$N$435,0)+6,0)</f>
      </c>
    </row>
    <row r="50" spans="1:11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заказ'!$N$7:$N$435,0)+6,0)</f>
      </c>
    </row>
    <row r="51" spans="1:11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заказ'!$N$7:$N$435,0)+6,0)</f>
      </c>
    </row>
    <row r="52" spans="1:11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заказ'!$N$7:$N$435,0)+6,0)</f>
      </c>
    </row>
    <row r="53" spans="1:11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заказ'!$N$7:$N$435,0)+6,0)</f>
      </c>
    </row>
    <row r="54" spans="1:11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заказ'!$N$7:$N$435,0)+6,0)</f>
      </c>
    </row>
    <row r="55" spans="1:11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заказ'!$N$7:$N$435,0)+6,0)</f>
      </c>
    </row>
    <row r="56" spans="1:11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заказ'!$N$7:$N$435,0)+6,0)</f>
      </c>
    </row>
    <row r="57" spans="1:11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заказ'!$N$7:$N$435,0)+6,0)</f>
      </c>
    </row>
    <row r="58" spans="1:11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заказ'!$N$7:$N$435,0)+6,0)</f>
      </c>
    </row>
    <row r="59" spans="1:11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заказ'!$N$7:$N$435,0)+6,0)</f>
      </c>
    </row>
    <row r="60" spans="1:11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заказ'!$N$7:$N$435,0)+6,0)</f>
      </c>
    </row>
    <row r="61" spans="1:11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заказ'!$N$7:$N$435,0)+6,0)</f>
      </c>
    </row>
    <row r="62" spans="1:11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заказ'!$N$7:$N$435,0)+6,0)</f>
      </c>
    </row>
    <row r="63" spans="1:11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заказ'!$N$7:$N$435,0)+6,0)</f>
      </c>
    </row>
    <row r="64" spans="1:11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заказ'!$N$7:$N$435,0)+6,0)</f>
      </c>
    </row>
    <row r="65" spans="1:11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заказ'!$N$7:$N$435,0)+6,0)</f>
      </c>
    </row>
    <row r="66" spans="1:11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заказ'!$N$7:$N$435,0)+6,0)</f>
      </c>
    </row>
    <row r="67" spans="1:11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заказ'!$N$7:$N$435,0)+6,0)</f>
      </c>
    </row>
    <row r="68" spans="1:11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заказ'!$N$7:$N$435,0)+6,0)</f>
      </c>
    </row>
    <row r="69" spans="1:11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заказ'!$N$7:$N$435,0)+6,0)</f>
      </c>
    </row>
    <row r="70" spans="1:11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заказ'!$N$7:$N$435,0)+6,0)</f>
      </c>
    </row>
    <row r="71" spans="1:11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заказ'!$N$7:$N$435,0)+6,0)</f>
      </c>
    </row>
    <row r="72" spans="1:11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заказ'!$N$7:$N$435,0)+6,0)</f>
      </c>
    </row>
    <row r="73" spans="1:11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заказ'!$N$7:$N$435,0)+6,0)</f>
      </c>
    </row>
    <row r="74" spans="1:11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заказ'!$N$7:$N$435,0)+6,0)</f>
      </c>
    </row>
    <row r="75" spans="1:11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заказ'!$N$7:$N$435,0)+6,0)</f>
      </c>
    </row>
    <row r="76" spans="1:11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заказ'!$N$7:$N$435,0)+6,0)</f>
      </c>
    </row>
    <row r="77" spans="1:11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заказ'!$N$7:$N$435,0)+6,0)</f>
      </c>
    </row>
    <row r="78" spans="1:11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заказ'!$N$7:$N$435,0)+6,0)</f>
      </c>
    </row>
    <row r="79" spans="1:11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заказ'!$N$7:$N$435,0)+6,0)</f>
      </c>
    </row>
    <row r="80" spans="1:11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заказ'!$N$7:$N$435,0)+6,0)</f>
      </c>
    </row>
    <row r="81" spans="1:11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заказ'!$N$7:$N$435,0)+6,0)</f>
      </c>
    </row>
    <row r="82" spans="1:11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заказ'!$N$7:$N$435,0)+6,0)</f>
      </c>
    </row>
    <row r="83" spans="1:11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заказ'!$N$7:$N$435,0)+6,0)</f>
      </c>
    </row>
    <row r="84" spans="1:11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заказ'!$N$7:$N$435,0)+6,0)</f>
      </c>
    </row>
    <row r="85" spans="1:11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заказ'!$N$7:$N$435,0)+6,0)</f>
      </c>
    </row>
    <row r="86" spans="1:11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заказ'!$N$7:$N$435,0)+6,0)</f>
      </c>
    </row>
    <row r="87" spans="1:11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заказ'!$N$7:$N$435,0)+6,0)</f>
      </c>
    </row>
    <row r="88" spans="1:11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заказ'!$N$7:$N$435,0)+6,0)</f>
      </c>
    </row>
    <row r="89" spans="1:11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заказ'!$N$7:$N$435,0)+6,0)</f>
      </c>
    </row>
    <row r="90" spans="1:11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заказ'!$N$7:$N$435,0)+6,0)</f>
      </c>
    </row>
    <row r="91" spans="1:11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заказ'!$N$7:$N$435,0)+6,0)</f>
      </c>
    </row>
    <row r="92" spans="1:11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заказ'!$N$7:$N$435,0)+6,0)</f>
      </c>
    </row>
    <row r="93" spans="1:11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заказ'!$N$7:$N$435,0)+6,0)</f>
      </c>
    </row>
    <row r="94" spans="1:11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заказ'!$N$7:$N$435,0)+6,0)</f>
      </c>
    </row>
    <row r="95" spans="1:11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заказ'!$N$7:$N$435,0)+6,0)</f>
      </c>
    </row>
    <row r="96" spans="1:11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заказ'!$N$7:$N$435,0)+6,0)</f>
      </c>
    </row>
    <row r="97" spans="1:11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заказ'!$N$7:$N$435,0)+6,0)</f>
      </c>
    </row>
    <row r="98" spans="1:11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заказ'!$N$7:$N$435,0)+6,0)</f>
      </c>
    </row>
    <row r="99" spans="1:11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заказ'!$N$7:$N$435,0)+6,0)</f>
      </c>
    </row>
    <row r="100" spans="1:11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заказ'!$N$7:$N$435,0)+6,0)</f>
      </c>
    </row>
    <row r="101" spans="1:11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заказ'!$N$7:$N$435,0)+6,0)</f>
      </c>
    </row>
    <row r="102" spans="1:11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заказ'!$N$7:$N$435,0)+6,0)</f>
      </c>
    </row>
    <row r="103" spans="1:11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заказ'!$N$7:$N$435,0)+6,0)</f>
      </c>
    </row>
    <row r="104" spans="1:11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заказ'!$N$7:$N$435,0)+6,0)</f>
      </c>
    </row>
    <row r="105" spans="1:11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заказ'!$N$7:$N$435,0)+6,0)</f>
      </c>
    </row>
    <row r="106" spans="1:11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заказ'!$N$7:$N$435,0)+6,0)</f>
      </c>
    </row>
    <row r="107" spans="1:11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заказ'!$N$7:$N$435,0)+6,0)</f>
      </c>
    </row>
    <row r="108" spans="1:11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заказ'!$N$7:$N$435,0)+6,0)</f>
      </c>
    </row>
    <row r="109" spans="1:11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заказ'!$N$7:$N$435,0)+6,0)</f>
      </c>
    </row>
    <row r="110" spans="1:11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заказ'!$N$7:$N$435,0)+6,0)</f>
      </c>
    </row>
    <row r="111" spans="1:11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заказ'!$N$7:$N$435,0)+6,0)</f>
      </c>
    </row>
    <row r="112" spans="1:11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заказ'!$N$7:$N$435,0)+6,0)</f>
      </c>
    </row>
    <row r="113" spans="1:11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заказ'!$N$7:$N$435,0)+6,0)</f>
      </c>
    </row>
    <row r="114" spans="1:11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заказ'!$N$7:$N$435,0)+6,0)</f>
      </c>
    </row>
    <row r="115" spans="1:11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заказ'!$N$7:$N$435,0)+6,0)</f>
      </c>
    </row>
    <row r="116" spans="1:11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заказ'!$N$7:$N$435,0)+6,0)</f>
      </c>
    </row>
    <row r="117" spans="1:11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заказ'!$N$7:$N$435,0)+6,0)</f>
      </c>
    </row>
    <row r="118" spans="1:11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заказ'!$N$7:$N$435,0)+6,0)</f>
      </c>
    </row>
    <row r="119" spans="1:11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заказ'!$N$7:$N$435,0)+6,0)</f>
      </c>
    </row>
    <row r="120" spans="1:11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заказ'!$N$7:$N$435,0)+6,0)</f>
      </c>
    </row>
    <row r="121" spans="1:11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заказ'!$N$7:$N$435,0)+6,0)</f>
      </c>
    </row>
    <row r="122" spans="1:11" customHeight="1" ht="40">
      <c r="A122" s="13" t="str">
        <f>IF($J122=0,"",IFERROR(_xlfn.IMAGE(INDEX('Прайс и заказ'!$O:$O,$J122)),""))</f>
      </c>
      <c r="B122" s="61" t="str">
        <f>IF($J122=0,"",IF(INDEX('Прайс и заказ'!B:B,$J122)="","",INDEX('Прайс и заказ'!B:B,$J122)))</f>
      </c>
      <c r="C122" s="64" t="str">
        <f>IF($J122=0,"",IF(INDEX('Прайс и заказ'!C:C,$J122)="","",INDEX('Прайс и заказ'!C:C,$J122)))</f>
      </c>
      <c r="D122" s="64" t="str">
        <f>IF($J122=0,"",IF(INDEX('Прайс и заказ'!D:D,$J122)="","",INDEX('Прайс и заказ'!D:D,$J122)))</f>
      </c>
      <c r="E122" s="61" t="str">
        <f>IF($J122=0,"",IF(INDEX('Прайс и заказ'!F:F,$J122)="","",INDEX('Прайс и заказ'!F:F,$J122)))</f>
      </c>
      <c r="F122" s="62" t="str">
        <f>IF($J122=0,"",IF(INDEX('Прайс и заказ'!I:I,$J122)="","",INDEX('Прайс и заказ'!I:I,$J122)))</f>
      </c>
      <c r="G122" s="63" t="str">
        <f>IF($J122=0,"",IF(INDEX('Прайс и заказ'!K:K,$J122)="","",INDEX('Прайс и заказ'!K:K,$J122)))</f>
      </c>
      <c r="H122" s="62" t="str">
        <f>IF($J122=0,"",IF(INDEX('Прайс и заказ'!L:L,$J122)="","",INDEX('Прайс и заказ'!L:L,$J122)))</f>
      </c>
      <c r="I122" s="13" t="str">
        <f>IF($J122=0,"",IF(INDEX('Прайс и заказ'!M:M,$J122)="","",INDEX('Прайс и заказ'!M:M,$J122)))</f>
      </c>
      <c r="J122" t="str">
        <f>IFERROR(MATCH(114,'Прайс и заказ'!$N$7:$N$435,0)+6,0)</f>
      </c>
    </row>
    <row r="123" spans="1:11" customHeight="1" ht="40">
      <c r="A123" s="13" t="str">
        <f>IF($J123=0,"",IFERROR(_xlfn.IMAGE(INDEX('Прайс и заказ'!$O:$O,$J123)),""))</f>
      </c>
      <c r="B123" s="61" t="str">
        <f>IF($J123=0,"",IF(INDEX('Прайс и заказ'!B:B,$J123)="","",INDEX('Прайс и заказ'!B:B,$J123)))</f>
      </c>
      <c r="C123" s="64" t="str">
        <f>IF($J123=0,"",IF(INDEX('Прайс и заказ'!C:C,$J123)="","",INDEX('Прайс и заказ'!C:C,$J123)))</f>
      </c>
      <c r="D123" s="64" t="str">
        <f>IF($J123=0,"",IF(INDEX('Прайс и заказ'!D:D,$J123)="","",INDEX('Прайс и заказ'!D:D,$J123)))</f>
      </c>
      <c r="E123" s="61" t="str">
        <f>IF($J123=0,"",IF(INDEX('Прайс и заказ'!F:F,$J123)="","",INDEX('Прайс и заказ'!F:F,$J123)))</f>
      </c>
      <c r="F123" s="62" t="str">
        <f>IF($J123=0,"",IF(INDEX('Прайс и заказ'!I:I,$J123)="","",INDEX('Прайс и заказ'!I:I,$J123)))</f>
      </c>
      <c r="G123" s="63" t="str">
        <f>IF($J123=0,"",IF(INDEX('Прайс и заказ'!K:K,$J123)="","",INDEX('Прайс и заказ'!K:K,$J123)))</f>
      </c>
      <c r="H123" s="62" t="str">
        <f>IF($J123=0,"",IF(INDEX('Прайс и заказ'!L:L,$J123)="","",INDEX('Прайс и заказ'!L:L,$J123)))</f>
      </c>
      <c r="I123" s="13" t="str">
        <f>IF($J123=0,"",IF(INDEX('Прайс и заказ'!M:M,$J123)="","",INDEX('Прайс и заказ'!M:M,$J123)))</f>
      </c>
      <c r="J123" t="str">
        <f>IFERROR(MATCH(115,'Прайс и заказ'!$N$7:$N$435,0)+6,0)</f>
      </c>
    </row>
    <row r="124" spans="1:11" customHeight="1" ht="40">
      <c r="A124" s="13" t="str">
        <f>IF($J124=0,"",IFERROR(_xlfn.IMAGE(INDEX('Прайс и заказ'!$O:$O,$J124)),""))</f>
      </c>
      <c r="B124" s="61" t="str">
        <f>IF($J124=0,"",IF(INDEX('Прайс и заказ'!B:B,$J124)="","",INDEX('Прайс и заказ'!B:B,$J124)))</f>
      </c>
      <c r="C124" s="64" t="str">
        <f>IF($J124=0,"",IF(INDEX('Прайс и заказ'!C:C,$J124)="","",INDEX('Прайс и заказ'!C:C,$J124)))</f>
      </c>
      <c r="D124" s="64" t="str">
        <f>IF($J124=0,"",IF(INDEX('Прайс и заказ'!D:D,$J124)="","",INDEX('Прайс и заказ'!D:D,$J124)))</f>
      </c>
      <c r="E124" s="61" t="str">
        <f>IF($J124=0,"",IF(INDEX('Прайс и заказ'!F:F,$J124)="","",INDEX('Прайс и заказ'!F:F,$J124)))</f>
      </c>
      <c r="F124" s="62" t="str">
        <f>IF($J124=0,"",IF(INDEX('Прайс и заказ'!I:I,$J124)="","",INDEX('Прайс и заказ'!I:I,$J124)))</f>
      </c>
      <c r="G124" s="63" t="str">
        <f>IF($J124=0,"",IF(INDEX('Прайс и заказ'!K:K,$J124)="","",INDEX('Прайс и заказ'!K:K,$J124)))</f>
      </c>
      <c r="H124" s="62" t="str">
        <f>IF($J124=0,"",IF(INDEX('Прайс и заказ'!L:L,$J124)="","",INDEX('Прайс и заказ'!L:L,$J124)))</f>
      </c>
      <c r="I124" s="13" t="str">
        <f>IF($J124=0,"",IF(INDEX('Прайс и заказ'!M:M,$J124)="","",INDEX('Прайс и заказ'!M:M,$J124)))</f>
      </c>
      <c r="J124" t="str">
        <f>IFERROR(MATCH(116,'Прайс и заказ'!$N$7:$N$435,0)+6,0)</f>
      </c>
    </row>
    <row r="125" spans="1:11" customHeight="1" ht="40">
      <c r="A125" s="13" t="str">
        <f>IF($J125=0,"",IFERROR(_xlfn.IMAGE(INDEX('Прайс и заказ'!$O:$O,$J125)),""))</f>
      </c>
      <c r="B125" s="61" t="str">
        <f>IF($J125=0,"",IF(INDEX('Прайс и заказ'!B:B,$J125)="","",INDEX('Прайс и заказ'!B:B,$J125)))</f>
      </c>
      <c r="C125" s="64" t="str">
        <f>IF($J125=0,"",IF(INDEX('Прайс и заказ'!C:C,$J125)="","",INDEX('Прайс и заказ'!C:C,$J125)))</f>
      </c>
      <c r="D125" s="64" t="str">
        <f>IF($J125=0,"",IF(INDEX('Прайс и заказ'!D:D,$J125)="","",INDEX('Прайс и заказ'!D:D,$J125)))</f>
      </c>
      <c r="E125" s="61" t="str">
        <f>IF($J125=0,"",IF(INDEX('Прайс и заказ'!F:F,$J125)="","",INDEX('Прайс и заказ'!F:F,$J125)))</f>
      </c>
      <c r="F125" s="62" t="str">
        <f>IF($J125=0,"",IF(INDEX('Прайс и заказ'!I:I,$J125)="","",INDEX('Прайс и заказ'!I:I,$J125)))</f>
      </c>
      <c r="G125" s="63" t="str">
        <f>IF($J125=0,"",IF(INDEX('Прайс и заказ'!K:K,$J125)="","",INDEX('Прайс и заказ'!K:K,$J125)))</f>
      </c>
      <c r="H125" s="62" t="str">
        <f>IF($J125=0,"",IF(INDEX('Прайс и заказ'!L:L,$J125)="","",INDEX('Прайс и заказ'!L:L,$J125)))</f>
      </c>
      <c r="I125" s="13" t="str">
        <f>IF($J125=0,"",IF(INDEX('Прайс и заказ'!M:M,$J125)="","",INDEX('Прайс и заказ'!M:M,$J125)))</f>
      </c>
      <c r="J125" t="str">
        <f>IFERROR(MATCH(117,'Прайс и заказ'!$N$7:$N$435,0)+6,0)</f>
      </c>
    </row>
    <row r="126" spans="1:11" customHeight="1" ht="40">
      <c r="A126" s="13" t="str">
        <f>IF($J126=0,"",IFERROR(_xlfn.IMAGE(INDEX('Прайс и заказ'!$O:$O,$J126)),""))</f>
      </c>
      <c r="B126" s="61" t="str">
        <f>IF($J126=0,"",IF(INDEX('Прайс и заказ'!B:B,$J126)="","",INDEX('Прайс и заказ'!B:B,$J126)))</f>
      </c>
      <c r="C126" s="64" t="str">
        <f>IF($J126=0,"",IF(INDEX('Прайс и заказ'!C:C,$J126)="","",INDEX('Прайс и заказ'!C:C,$J126)))</f>
      </c>
      <c r="D126" s="64" t="str">
        <f>IF($J126=0,"",IF(INDEX('Прайс и заказ'!D:D,$J126)="","",INDEX('Прайс и заказ'!D:D,$J126)))</f>
      </c>
      <c r="E126" s="61" t="str">
        <f>IF($J126=0,"",IF(INDEX('Прайс и заказ'!F:F,$J126)="","",INDEX('Прайс и заказ'!F:F,$J126)))</f>
      </c>
      <c r="F126" s="62" t="str">
        <f>IF($J126=0,"",IF(INDEX('Прайс и заказ'!I:I,$J126)="","",INDEX('Прайс и заказ'!I:I,$J126)))</f>
      </c>
      <c r="G126" s="63" t="str">
        <f>IF($J126=0,"",IF(INDEX('Прайс и заказ'!K:K,$J126)="","",INDEX('Прайс и заказ'!K:K,$J126)))</f>
      </c>
      <c r="H126" s="62" t="str">
        <f>IF($J126=0,"",IF(INDEX('Прайс и заказ'!L:L,$J126)="","",INDEX('Прайс и заказ'!L:L,$J126)))</f>
      </c>
      <c r="I126" s="13" t="str">
        <f>IF($J126=0,"",IF(INDEX('Прайс и заказ'!M:M,$J126)="","",INDEX('Прайс и заказ'!M:M,$J126)))</f>
      </c>
      <c r="J126" t="str">
        <f>IFERROR(MATCH(118,'Прайс и заказ'!$N$7:$N$435,0)+6,0)</f>
      </c>
    </row>
    <row r="127" spans="1:11" customHeight="1" ht="40">
      <c r="A127" s="13" t="str">
        <f>IF($J127=0,"",IFERROR(_xlfn.IMAGE(INDEX('Прайс и заказ'!$O:$O,$J127)),""))</f>
      </c>
      <c r="B127" s="61" t="str">
        <f>IF($J127=0,"",IF(INDEX('Прайс и заказ'!B:B,$J127)="","",INDEX('Прайс и заказ'!B:B,$J127)))</f>
      </c>
      <c r="C127" s="64" t="str">
        <f>IF($J127=0,"",IF(INDEX('Прайс и заказ'!C:C,$J127)="","",INDEX('Прайс и заказ'!C:C,$J127)))</f>
      </c>
      <c r="D127" s="64" t="str">
        <f>IF($J127=0,"",IF(INDEX('Прайс и заказ'!D:D,$J127)="","",INDEX('Прайс и заказ'!D:D,$J127)))</f>
      </c>
      <c r="E127" s="61" t="str">
        <f>IF($J127=0,"",IF(INDEX('Прайс и заказ'!F:F,$J127)="","",INDEX('Прайс и заказ'!F:F,$J127)))</f>
      </c>
      <c r="F127" s="62" t="str">
        <f>IF($J127=0,"",IF(INDEX('Прайс и заказ'!I:I,$J127)="","",INDEX('Прайс и заказ'!I:I,$J127)))</f>
      </c>
      <c r="G127" s="63" t="str">
        <f>IF($J127=0,"",IF(INDEX('Прайс и заказ'!K:K,$J127)="","",INDEX('Прайс и заказ'!K:K,$J127)))</f>
      </c>
      <c r="H127" s="62" t="str">
        <f>IF($J127=0,"",IF(INDEX('Прайс и заказ'!L:L,$J127)="","",INDEX('Прайс и заказ'!L:L,$J127)))</f>
      </c>
      <c r="I127" s="13" t="str">
        <f>IF($J127=0,"",IF(INDEX('Прайс и заказ'!M:M,$J127)="","",INDEX('Прайс и заказ'!M:M,$J127)))</f>
      </c>
      <c r="J127" t="str">
        <f>IFERROR(MATCH(119,'Прайс и заказ'!$N$7:$N$435,0)+6,0)</f>
      </c>
    </row>
    <row r="128" spans="1:11" customHeight="1" ht="40">
      <c r="A128" s="13" t="str">
        <f>IF($J128=0,"",IFERROR(_xlfn.IMAGE(INDEX('Прайс и заказ'!$O:$O,$J128)),""))</f>
      </c>
      <c r="B128" s="61" t="str">
        <f>IF($J128=0,"",IF(INDEX('Прайс и заказ'!B:B,$J128)="","",INDEX('Прайс и заказ'!B:B,$J128)))</f>
      </c>
      <c r="C128" s="64" t="str">
        <f>IF($J128=0,"",IF(INDEX('Прайс и заказ'!C:C,$J128)="","",INDEX('Прайс и заказ'!C:C,$J128)))</f>
      </c>
      <c r="D128" s="64" t="str">
        <f>IF($J128=0,"",IF(INDEX('Прайс и заказ'!D:D,$J128)="","",INDEX('Прайс и заказ'!D:D,$J128)))</f>
      </c>
      <c r="E128" s="61" t="str">
        <f>IF($J128=0,"",IF(INDEX('Прайс и заказ'!F:F,$J128)="","",INDEX('Прайс и заказ'!F:F,$J128)))</f>
      </c>
      <c r="F128" s="62" t="str">
        <f>IF($J128=0,"",IF(INDEX('Прайс и заказ'!I:I,$J128)="","",INDEX('Прайс и заказ'!I:I,$J128)))</f>
      </c>
      <c r="G128" s="63" t="str">
        <f>IF($J128=0,"",IF(INDEX('Прайс и заказ'!K:K,$J128)="","",INDEX('Прайс и заказ'!K:K,$J128)))</f>
      </c>
      <c r="H128" s="62" t="str">
        <f>IF($J128=0,"",IF(INDEX('Прайс и заказ'!L:L,$J128)="","",INDEX('Прайс и заказ'!L:L,$J128)))</f>
      </c>
      <c r="I128" s="13" t="str">
        <f>IF($J128=0,"",IF(INDEX('Прайс и заказ'!M:M,$J128)="","",INDEX('Прайс и заказ'!M:M,$J128)))</f>
      </c>
      <c r="J128" t="str">
        <f>IFERROR(MATCH(120,'Прайс и заказ'!$N$7:$N$435,0)+6,0)</f>
      </c>
    </row>
    <row r="129" spans="1:11" customHeight="1" ht="40">
      <c r="A129" s="13" t="str">
        <f>IF($J129=0,"",IFERROR(_xlfn.IMAGE(INDEX('Прайс и заказ'!$O:$O,$J129)),""))</f>
      </c>
      <c r="B129" s="61" t="str">
        <f>IF($J129=0,"",IF(INDEX('Прайс и заказ'!B:B,$J129)="","",INDEX('Прайс и заказ'!B:B,$J129)))</f>
      </c>
      <c r="C129" s="64" t="str">
        <f>IF($J129=0,"",IF(INDEX('Прайс и заказ'!C:C,$J129)="","",INDEX('Прайс и заказ'!C:C,$J129)))</f>
      </c>
      <c r="D129" s="64" t="str">
        <f>IF($J129=0,"",IF(INDEX('Прайс и заказ'!D:D,$J129)="","",INDEX('Прайс и заказ'!D:D,$J129)))</f>
      </c>
      <c r="E129" s="61" t="str">
        <f>IF($J129=0,"",IF(INDEX('Прайс и заказ'!F:F,$J129)="","",INDEX('Прайс и заказ'!F:F,$J129)))</f>
      </c>
      <c r="F129" s="62" t="str">
        <f>IF($J129=0,"",IF(INDEX('Прайс и заказ'!I:I,$J129)="","",INDEX('Прайс и заказ'!I:I,$J129)))</f>
      </c>
      <c r="G129" s="63" t="str">
        <f>IF($J129=0,"",IF(INDEX('Прайс и заказ'!K:K,$J129)="","",INDEX('Прайс и заказ'!K:K,$J129)))</f>
      </c>
      <c r="H129" s="62" t="str">
        <f>IF($J129=0,"",IF(INDEX('Прайс и заказ'!L:L,$J129)="","",INDEX('Прайс и заказ'!L:L,$J129)))</f>
      </c>
      <c r="I129" s="13" t="str">
        <f>IF($J129=0,"",IF(INDEX('Прайс и заказ'!M:M,$J129)="","",INDEX('Прайс и заказ'!M:M,$J129)))</f>
      </c>
      <c r="J129" t="str">
        <f>IFERROR(MATCH(121,'Прайс и заказ'!$N$7:$N$435,0)+6,0)</f>
      </c>
    </row>
    <row r="130" spans="1:11" customHeight="1" ht="40">
      <c r="A130" s="13" t="str">
        <f>IF($J130=0,"",IFERROR(_xlfn.IMAGE(INDEX('Прайс и заказ'!$O:$O,$J130)),""))</f>
      </c>
      <c r="B130" s="61" t="str">
        <f>IF($J130=0,"",IF(INDEX('Прайс и заказ'!B:B,$J130)="","",INDEX('Прайс и заказ'!B:B,$J130)))</f>
      </c>
      <c r="C130" s="64" t="str">
        <f>IF($J130=0,"",IF(INDEX('Прайс и заказ'!C:C,$J130)="","",INDEX('Прайс и заказ'!C:C,$J130)))</f>
      </c>
      <c r="D130" s="64" t="str">
        <f>IF($J130=0,"",IF(INDEX('Прайс и заказ'!D:D,$J130)="","",INDEX('Прайс и заказ'!D:D,$J130)))</f>
      </c>
      <c r="E130" s="61" t="str">
        <f>IF($J130=0,"",IF(INDEX('Прайс и заказ'!F:F,$J130)="","",INDEX('Прайс и заказ'!F:F,$J130)))</f>
      </c>
      <c r="F130" s="62" t="str">
        <f>IF($J130=0,"",IF(INDEX('Прайс и заказ'!I:I,$J130)="","",INDEX('Прайс и заказ'!I:I,$J130)))</f>
      </c>
      <c r="G130" s="63" t="str">
        <f>IF($J130=0,"",IF(INDEX('Прайс и заказ'!K:K,$J130)="","",INDEX('Прайс и заказ'!K:K,$J130)))</f>
      </c>
      <c r="H130" s="62" t="str">
        <f>IF($J130=0,"",IF(INDEX('Прайс и заказ'!L:L,$J130)="","",INDEX('Прайс и заказ'!L:L,$J130)))</f>
      </c>
      <c r="I130" s="13" t="str">
        <f>IF($J130=0,"",IF(INDEX('Прайс и заказ'!M:M,$J130)="","",INDEX('Прайс и заказ'!M:M,$J130)))</f>
      </c>
      <c r="J130" t="str">
        <f>IFERROR(MATCH(122,'Прайс и заказ'!$N$7:$N$435,0)+6,0)</f>
      </c>
    </row>
    <row r="131" spans="1:11" customHeight="1" ht="40">
      <c r="A131" s="13" t="str">
        <f>IF($J131=0,"",IFERROR(_xlfn.IMAGE(INDEX('Прайс и заказ'!$O:$O,$J131)),""))</f>
      </c>
      <c r="B131" s="61" t="str">
        <f>IF($J131=0,"",IF(INDEX('Прайс и заказ'!B:B,$J131)="","",INDEX('Прайс и заказ'!B:B,$J131)))</f>
      </c>
      <c r="C131" s="64" t="str">
        <f>IF($J131=0,"",IF(INDEX('Прайс и заказ'!C:C,$J131)="","",INDEX('Прайс и заказ'!C:C,$J131)))</f>
      </c>
      <c r="D131" s="64" t="str">
        <f>IF($J131=0,"",IF(INDEX('Прайс и заказ'!D:D,$J131)="","",INDEX('Прайс и заказ'!D:D,$J131)))</f>
      </c>
      <c r="E131" s="61" t="str">
        <f>IF($J131=0,"",IF(INDEX('Прайс и заказ'!F:F,$J131)="","",INDEX('Прайс и заказ'!F:F,$J131)))</f>
      </c>
      <c r="F131" s="62" t="str">
        <f>IF($J131=0,"",IF(INDEX('Прайс и заказ'!I:I,$J131)="","",INDEX('Прайс и заказ'!I:I,$J131)))</f>
      </c>
      <c r="G131" s="63" t="str">
        <f>IF($J131=0,"",IF(INDEX('Прайс и заказ'!K:K,$J131)="","",INDEX('Прайс и заказ'!K:K,$J131)))</f>
      </c>
      <c r="H131" s="62" t="str">
        <f>IF($J131=0,"",IF(INDEX('Прайс и заказ'!L:L,$J131)="","",INDEX('Прайс и заказ'!L:L,$J131)))</f>
      </c>
      <c r="I131" s="13" t="str">
        <f>IF($J131=0,"",IF(INDEX('Прайс и заказ'!M:M,$J131)="","",INDEX('Прайс и заказ'!M:M,$J131)))</f>
      </c>
      <c r="J131" t="str">
        <f>IFERROR(MATCH(123,'Прайс и заказ'!$N$7:$N$435,0)+6,0)</f>
      </c>
    </row>
    <row r="132" spans="1:11" customHeight="1" ht="40">
      <c r="A132" s="13" t="str">
        <f>IF($J132=0,"",IFERROR(_xlfn.IMAGE(INDEX('Прайс и заказ'!$O:$O,$J132)),""))</f>
      </c>
      <c r="B132" s="61" t="str">
        <f>IF($J132=0,"",IF(INDEX('Прайс и заказ'!B:B,$J132)="","",INDEX('Прайс и заказ'!B:B,$J132)))</f>
      </c>
      <c r="C132" s="64" t="str">
        <f>IF($J132=0,"",IF(INDEX('Прайс и заказ'!C:C,$J132)="","",INDEX('Прайс и заказ'!C:C,$J132)))</f>
      </c>
      <c r="D132" s="64" t="str">
        <f>IF($J132=0,"",IF(INDEX('Прайс и заказ'!D:D,$J132)="","",INDEX('Прайс и заказ'!D:D,$J132)))</f>
      </c>
      <c r="E132" s="61" t="str">
        <f>IF($J132=0,"",IF(INDEX('Прайс и заказ'!F:F,$J132)="","",INDEX('Прайс и заказ'!F:F,$J132)))</f>
      </c>
      <c r="F132" s="62" t="str">
        <f>IF($J132=0,"",IF(INDEX('Прайс и заказ'!I:I,$J132)="","",INDEX('Прайс и заказ'!I:I,$J132)))</f>
      </c>
      <c r="G132" s="63" t="str">
        <f>IF($J132=0,"",IF(INDEX('Прайс и заказ'!K:K,$J132)="","",INDEX('Прайс и заказ'!K:K,$J132)))</f>
      </c>
      <c r="H132" s="62" t="str">
        <f>IF($J132=0,"",IF(INDEX('Прайс и заказ'!L:L,$J132)="","",INDEX('Прайс и заказ'!L:L,$J132)))</f>
      </c>
      <c r="I132" s="13" t="str">
        <f>IF($J132=0,"",IF(INDEX('Прайс и заказ'!M:M,$J132)="","",INDEX('Прайс и заказ'!M:M,$J132)))</f>
      </c>
      <c r="J132" t="str">
        <f>IFERROR(MATCH(124,'Прайс и заказ'!$N$7:$N$435,0)+6,0)</f>
      </c>
    </row>
    <row r="133" spans="1:11" customHeight="1" ht="40">
      <c r="A133" s="13" t="str">
        <f>IF($J133=0,"",IFERROR(_xlfn.IMAGE(INDEX('Прайс и заказ'!$O:$O,$J133)),""))</f>
      </c>
      <c r="B133" s="61" t="str">
        <f>IF($J133=0,"",IF(INDEX('Прайс и заказ'!B:B,$J133)="","",INDEX('Прайс и заказ'!B:B,$J133)))</f>
      </c>
      <c r="C133" s="64" t="str">
        <f>IF($J133=0,"",IF(INDEX('Прайс и заказ'!C:C,$J133)="","",INDEX('Прайс и заказ'!C:C,$J133)))</f>
      </c>
      <c r="D133" s="64" t="str">
        <f>IF($J133=0,"",IF(INDEX('Прайс и заказ'!D:D,$J133)="","",INDEX('Прайс и заказ'!D:D,$J133)))</f>
      </c>
      <c r="E133" s="61" t="str">
        <f>IF($J133=0,"",IF(INDEX('Прайс и заказ'!F:F,$J133)="","",INDEX('Прайс и заказ'!F:F,$J133)))</f>
      </c>
      <c r="F133" s="62" t="str">
        <f>IF($J133=0,"",IF(INDEX('Прайс и заказ'!I:I,$J133)="","",INDEX('Прайс и заказ'!I:I,$J133)))</f>
      </c>
      <c r="G133" s="63" t="str">
        <f>IF($J133=0,"",IF(INDEX('Прайс и заказ'!K:K,$J133)="","",INDEX('Прайс и заказ'!K:K,$J133)))</f>
      </c>
      <c r="H133" s="62" t="str">
        <f>IF($J133=0,"",IF(INDEX('Прайс и заказ'!L:L,$J133)="","",INDEX('Прайс и заказ'!L:L,$J133)))</f>
      </c>
      <c r="I133" s="13" t="str">
        <f>IF($J133=0,"",IF(INDEX('Прайс и заказ'!M:M,$J133)="","",INDEX('Прайс и заказ'!M:M,$J133)))</f>
      </c>
      <c r="J133" t="str">
        <f>IFERROR(MATCH(125,'Прайс и заказ'!$N$7:$N$435,0)+6,0)</f>
      </c>
    </row>
    <row r="134" spans="1:11" customHeight="1" ht="40">
      <c r="A134" s="13" t="str">
        <f>IF($J134=0,"",IFERROR(_xlfn.IMAGE(INDEX('Прайс и заказ'!$O:$O,$J134)),""))</f>
      </c>
      <c r="B134" s="61" t="str">
        <f>IF($J134=0,"",IF(INDEX('Прайс и заказ'!B:B,$J134)="","",INDEX('Прайс и заказ'!B:B,$J134)))</f>
      </c>
      <c r="C134" s="64" t="str">
        <f>IF($J134=0,"",IF(INDEX('Прайс и заказ'!C:C,$J134)="","",INDEX('Прайс и заказ'!C:C,$J134)))</f>
      </c>
      <c r="D134" s="64" t="str">
        <f>IF($J134=0,"",IF(INDEX('Прайс и заказ'!D:D,$J134)="","",INDEX('Прайс и заказ'!D:D,$J134)))</f>
      </c>
      <c r="E134" s="61" t="str">
        <f>IF($J134=0,"",IF(INDEX('Прайс и заказ'!F:F,$J134)="","",INDEX('Прайс и заказ'!F:F,$J134)))</f>
      </c>
      <c r="F134" s="62" t="str">
        <f>IF($J134=0,"",IF(INDEX('Прайс и заказ'!I:I,$J134)="","",INDEX('Прайс и заказ'!I:I,$J134)))</f>
      </c>
      <c r="G134" s="63" t="str">
        <f>IF($J134=0,"",IF(INDEX('Прайс и заказ'!K:K,$J134)="","",INDEX('Прайс и заказ'!K:K,$J134)))</f>
      </c>
      <c r="H134" s="62" t="str">
        <f>IF($J134=0,"",IF(INDEX('Прайс и заказ'!L:L,$J134)="","",INDEX('Прайс и заказ'!L:L,$J134)))</f>
      </c>
      <c r="I134" s="13" t="str">
        <f>IF($J134=0,"",IF(INDEX('Прайс и заказ'!M:M,$J134)="","",INDEX('Прайс и заказ'!M:M,$J134)))</f>
      </c>
      <c r="J134" t="str">
        <f>IFERROR(MATCH(126,'Прайс и заказ'!$N$7:$N$435,0)+6,0)</f>
      </c>
    </row>
    <row r="135" spans="1:11" customHeight="1" ht="40">
      <c r="A135" s="13" t="str">
        <f>IF($J135=0,"",IFERROR(_xlfn.IMAGE(INDEX('Прайс и заказ'!$O:$O,$J135)),""))</f>
      </c>
      <c r="B135" s="61" t="str">
        <f>IF($J135=0,"",IF(INDEX('Прайс и заказ'!B:B,$J135)="","",INDEX('Прайс и заказ'!B:B,$J135)))</f>
      </c>
      <c r="C135" s="64" t="str">
        <f>IF($J135=0,"",IF(INDEX('Прайс и заказ'!C:C,$J135)="","",INDEX('Прайс и заказ'!C:C,$J135)))</f>
      </c>
      <c r="D135" s="64" t="str">
        <f>IF($J135=0,"",IF(INDEX('Прайс и заказ'!D:D,$J135)="","",INDEX('Прайс и заказ'!D:D,$J135)))</f>
      </c>
      <c r="E135" s="61" t="str">
        <f>IF($J135=0,"",IF(INDEX('Прайс и заказ'!F:F,$J135)="","",INDEX('Прайс и заказ'!F:F,$J135)))</f>
      </c>
      <c r="F135" s="62" t="str">
        <f>IF($J135=0,"",IF(INDEX('Прайс и заказ'!I:I,$J135)="","",INDEX('Прайс и заказ'!I:I,$J135)))</f>
      </c>
      <c r="G135" s="63" t="str">
        <f>IF($J135=0,"",IF(INDEX('Прайс и заказ'!K:K,$J135)="","",INDEX('Прайс и заказ'!K:K,$J135)))</f>
      </c>
      <c r="H135" s="62" t="str">
        <f>IF($J135=0,"",IF(INDEX('Прайс и заказ'!L:L,$J135)="","",INDEX('Прайс и заказ'!L:L,$J135)))</f>
      </c>
      <c r="I135" s="13" t="str">
        <f>IF($J135=0,"",IF(INDEX('Прайс и заказ'!M:M,$J135)="","",INDEX('Прайс и заказ'!M:M,$J135)))</f>
      </c>
      <c r="J135" t="str">
        <f>IFERROR(MATCH(127,'Прайс и заказ'!$N$7:$N$435,0)+6,0)</f>
      </c>
    </row>
    <row r="136" spans="1:11" customHeight="1" ht="40">
      <c r="A136" s="13" t="str">
        <f>IF($J136=0,"",IFERROR(_xlfn.IMAGE(INDEX('Прайс и заказ'!$O:$O,$J136)),""))</f>
      </c>
      <c r="B136" s="61" t="str">
        <f>IF($J136=0,"",IF(INDEX('Прайс и заказ'!B:B,$J136)="","",INDEX('Прайс и заказ'!B:B,$J136)))</f>
      </c>
      <c r="C136" s="64" t="str">
        <f>IF($J136=0,"",IF(INDEX('Прайс и заказ'!C:C,$J136)="","",INDEX('Прайс и заказ'!C:C,$J136)))</f>
      </c>
      <c r="D136" s="64" t="str">
        <f>IF($J136=0,"",IF(INDEX('Прайс и заказ'!D:D,$J136)="","",INDEX('Прайс и заказ'!D:D,$J136)))</f>
      </c>
      <c r="E136" s="61" t="str">
        <f>IF($J136=0,"",IF(INDEX('Прайс и заказ'!F:F,$J136)="","",INDEX('Прайс и заказ'!F:F,$J136)))</f>
      </c>
      <c r="F136" s="62" t="str">
        <f>IF($J136=0,"",IF(INDEX('Прайс и заказ'!I:I,$J136)="","",INDEX('Прайс и заказ'!I:I,$J136)))</f>
      </c>
      <c r="G136" s="63" t="str">
        <f>IF($J136=0,"",IF(INDEX('Прайс и заказ'!K:K,$J136)="","",INDEX('Прайс и заказ'!K:K,$J136)))</f>
      </c>
      <c r="H136" s="62" t="str">
        <f>IF($J136=0,"",IF(INDEX('Прайс и заказ'!L:L,$J136)="","",INDEX('Прайс и заказ'!L:L,$J136)))</f>
      </c>
      <c r="I136" s="13" t="str">
        <f>IF($J136=0,"",IF(INDEX('Прайс и заказ'!M:M,$J136)="","",INDEX('Прайс и заказ'!M:M,$J136)))</f>
      </c>
      <c r="J136" t="str">
        <f>IFERROR(MATCH(128,'Прайс и заказ'!$N$7:$N$435,0)+6,0)</f>
      </c>
    </row>
    <row r="137" spans="1:11" customHeight="1" ht="40">
      <c r="A137" s="13" t="str">
        <f>IF($J137=0,"",IFERROR(_xlfn.IMAGE(INDEX('Прайс и заказ'!$O:$O,$J137)),""))</f>
      </c>
      <c r="B137" s="61" t="str">
        <f>IF($J137=0,"",IF(INDEX('Прайс и заказ'!B:B,$J137)="","",INDEX('Прайс и заказ'!B:B,$J137)))</f>
      </c>
      <c r="C137" s="64" t="str">
        <f>IF($J137=0,"",IF(INDEX('Прайс и заказ'!C:C,$J137)="","",INDEX('Прайс и заказ'!C:C,$J137)))</f>
      </c>
      <c r="D137" s="64" t="str">
        <f>IF($J137=0,"",IF(INDEX('Прайс и заказ'!D:D,$J137)="","",INDEX('Прайс и заказ'!D:D,$J137)))</f>
      </c>
      <c r="E137" s="61" t="str">
        <f>IF($J137=0,"",IF(INDEX('Прайс и заказ'!F:F,$J137)="","",INDEX('Прайс и заказ'!F:F,$J137)))</f>
      </c>
      <c r="F137" s="62" t="str">
        <f>IF($J137=0,"",IF(INDEX('Прайс и заказ'!I:I,$J137)="","",INDEX('Прайс и заказ'!I:I,$J137)))</f>
      </c>
      <c r="G137" s="63" t="str">
        <f>IF($J137=0,"",IF(INDEX('Прайс и заказ'!K:K,$J137)="","",INDEX('Прайс и заказ'!K:K,$J137)))</f>
      </c>
      <c r="H137" s="62" t="str">
        <f>IF($J137=0,"",IF(INDEX('Прайс и заказ'!L:L,$J137)="","",INDEX('Прайс и заказ'!L:L,$J137)))</f>
      </c>
      <c r="I137" s="13" t="str">
        <f>IF($J137=0,"",IF(INDEX('Прайс и заказ'!M:M,$J137)="","",INDEX('Прайс и заказ'!M:M,$J137)))</f>
      </c>
      <c r="J137" t="str">
        <f>IFERROR(MATCH(129,'Прайс и заказ'!$N$7:$N$435,0)+6,0)</f>
      </c>
    </row>
    <row r="138" spans="1:11" customHeight="1" ht="40">
      <c r="A138" s="13" t="str">
        <f>IF($J138=0,"",IFERROR(_xlfn.IMAGE(INDEX('Прайс и заказ'!$O:$O,$J138)),""))</f>
      </c>
      <c r="B138" s="61" t="str">
        <f>IF($J138=0,"",IF(INDEX('Прайс и заказ'!B:B,$J138)="","",INDEX('Прайс и заказ'!B:B,$J138)))</f>
      </c>
      <c r="C138" s="64" t="str">
        <f>IF($J138=0,"",IF(INDEX('Прайс и заказ'!C:C,$J138)="","",INDEX('Прайс и заказ'!C:C,$J138)))</f>
      </c>
      <c r="D138" s="64" t="str">
        <f>IF($J138=0,"",IF(INDEX('Прайс и заказ'!D:D,$J138)="","",INDEX('Прайс и заказ'!D:D,$J138)))</f>
      </c>
      <c r="E138" s="61" t="str">
        <f>IF($J138=0,"",IF(INDEX('Прайс и заказ'!F:F,$J138)="","",INDEX('Прайс и заказ'!F:F,$J138)))</f>
      </c>
      <c r="F138" s="62" t="str">
        <f>IF($J138=0,"",IF(INDEX('Прайс и заказ'!I:I,$J138)="","",INDEX('Прайс и заказ'!I:I,$J138)))</f>
      </c>
      <c r="G138" s="63" t="str">
        <f>IF($J138=0,"",IF(INDEX('Прайс и заказ'!K:K,$J138)="","",INDEX('Прайс и заказ'!K:K,$J138)))</f>
      </c>
      <c r="H138" s="62" t="str">
        <f>IF($J138=0,"",IF(INDEX('Прайс и заказ'!L:L,$J138)="","",INDEX('Прайс и заказ'!L:L,$J138)))</f>
      </c>
      <c r="I138" s="13" t="str">
        <f>IF($J138=0,"",IF(INDEX('Прайс и заказ'!M:M,$J138)="","",INDEX('Прайс и заказ'!M:M,$J138)))</f>
      </c>
      <c r="J138" t="str">
        <f>IFERROR(MATCH(130,'Прайс и заказ'!$N$7:$N$435,0)+6,0)</f>
      </c>
    </row>
    <row r="139" spans="1:11" customHeight="1" ht="40">
      <c r="A139" s="13" t="str">
        <f>IF($J139=0,"",IFERROR(_xlfn.IMAGE(INDEX('Прайс и заказ'!$O:$O,$J139)),""))</f>
      </c>
      <c r="B139" s="61" t="str">
        <f>IF($J139=0,"",IF(INDEX('Прайс и заказ'!B:B,$J139)="","",INDEX('Прайс и заказ'!B:B,$J139)))</f>
      </c>
      <c r="C139" s="64" t="str">
        <f>IF($J139=0,"",IF(INDEX('Прайс и заказ'!C:C,$J139)="","",INDEX('Прайс и заказ'!C:C,$J139)))</f>
      </c>
      <c r="D139" s="64" t="str">
        <f>IF($J139=0,"",IF(INDEX('Прайс и заказ'!D:D,$J139)="","",INDEX('Прайс и заказ'!D:D,$J139)))</f>
      </c>
      <c r="E139" s="61" t="str">
        <f>IF($J139=0,"",IF(INDEX('Прайс и заказ'!F:F,$J139)="","",INDEX('Прайс и заказ'!F:F,$J139)))</f>
      </c>
      <c r="F139" s="62" t="str">
        <f>IF($J139=0,"",IF(INDEX('Прайс и заказ'!I:I,$J139)="","",INDEX('Прайс и заказ'!I:I,$J139)))</f>
      </c>
      <c r="G139" s="63" t="str">
        <f>IF($J139=0,"",IF(INDEX('Прайс и заказ'!K:K,$J139)="","",INDEX('Прайс и заказ'!K:K,$J139)))</f>
      </c>
      <c r="H139" s="62" t="str">
        <f>IF($J139=0,"",IF(INDEX('Прайс и заказ'!L:L,$J139)="","",INDEX('Прайс и заказ'!L:L,$J139)))</f>
      </c>
      <c r="I139" s="13" t="str">
        <f>IF($J139=0,"",IF(INDEX('Прайс и заказ'!M:M,$J139)="","",INDEX('Прайс и заказ'!M:M,$J139)))</f>
      </c>
      <c r="J139" t="str">
        <f>IFERROR(MATCH(131,'Прайс и заказ'!$N$7:$N$435,0)+6,0)</f>
      </c>
    </row>
    <row r="140" spans="1:11" customHeight="1" ht="40">
      <c r="A140" s="13" t="str">
        <f>IF($J140=0,"",IFERROR(_xlfn.IMAGE(INDEX('Прайс и заказ'!$O:$O,$J140)),""))</f>
      </c>
      <c r="B140" s="61" t="str">
        <f>IF($J140=0,"",IF(INDEX('Прайс и заказ'!B:B,$J140)="","",INDEX('Прайс и заказ'!B:B,$J140)))</f>
      </c>
      <c r="C140" s="64" t="str">
        <f>IF($J140=0,"",IF(INDEX('Прайс и заказ'!C:C,$J140)="","",INDEX('Прайс и заказ'!C:C,$J140)))</f>
      </c>
      <c r="D140" s="64" t="str">
        <f>IF($J140=0,"",IF(INDEX('Прайс и заказ'!D:D,$J140)="","",INDEX('Прайс и заказ'!D:D,$J140)))</f>
      </c>
      <c r="E140" s="61" t="str">
        <f>IF($J140=0,"",IF(INDEX('Прайс и заказ'!F:F,$J140)="","",INDEX('Прайс и заказ'!F:F,$J140)))</f>
      </c>
      <c r="F140" s="62" t="str">
        <f>IF($J140=0,"",IF(INDEX('Прайс и заказ'!I:I,$J140)="","",INDEX('Прайс и заказ'!I:I,$J140)))</f>
      </c>
      <c r="G140" s="63" t="str">
        <f>IF($J140=0,"",IF(INDEX('Прайс и заказ'!K:K,$J140)="","",INDEX('Прайс и заказ'!K:K,$J140)))</f>
      </c>
      <c r="H140" s="62" t="str">
        <f>IF($J140=0,"",IF(INDEX('Прайс и заказ'!L:L,$J140)="","",INDEX('Прайс и заказ'!L:L,$J140)))</f>
      </c>
      <c r="I140" s="13" t="str">
        <f>IF($J140=0,"",IF(INDEX('Прайс и заказ'!M:M,$J140)="","",INDEX('Прайс и заказ'!M:M,$J140)))</f>
      </c>
      <c r="J140" t="str">
        <f>IFERROR(MATCH(132,'Прайс и заказ'!$N$7:$N$435,0)+6,0)</f>
      </c>
    </row>
    <row r="141" spans="1:11" customHeight="1" ht="40">
      <c r="A141" s="13" t="str">
        <f>IF($J141=0,"",IFERROR(_xlfn.IMAGE(INDEX('Прайс и заказ'!$O:$O,$J141)),""))</f>
      </c>
      <c r="B141" s="61" t="str">
        <f>IF($J141=0,"",IF(INDEX('Прайс и заказ'!B:B,$J141)="","",INDEX('Прайс и заказ'!B:B,$J141)))</f>
      </c>
      <c r="C141" s="64" t="str">
        <f>IF($J141=0,"",IF(INDEX('Прайс и заказ'!C:C,$J141)="","",INDEX('Прайс и заказ'!C:C,$J141)))</f>
      </c>
      <c r="D141" s="64" t="str">
        <f>IF($J141=0,"",IF(INDEX('Прайс и заказ'!D:D,$J141)="","",INDEX('Прайс и заказ'!D:D,$J141)))</f>
      </c>
      <c r="E141" s="61" t="str">
        <f>IF($J141=0,"",IF(INDEX('Прайс и заказ'!F:F,$J141)="","",INDEX('Прайс и заказ'!F:F,$J141)))</f>
      </c>
      <c r="F141" s="62" t="str">
        <f>IF($J141=0,"",IF(INDEX('Прайс и заказ'!I:I,$J141)="","",INDEX('Прайс и заказ'!I:I,$J141)))</f>
      </c>
      <c r="G141" s="63" t="str">
        <f>IF($J141=0,"",IF(INDEX('Прайс и заказ'!K:K,$J141)="","",INDEX('Прайс и заказ'!K:K,$J141)))</f>
      </c>
      <c r="H141" s="62" t="str">
        <f>IF($J141=0,"",IF(INDEX('Прайс и заказ'!L:L,$J141)="","",INDEX('Прайс и заказ'!L:L,$J141)))</f>
      </c>
      <c r="I141" s="13" t="str">
        <f>IF($J141=0,"",IF(INDEX('Прайс и заказ'!M:M,$J141)="","",INDEX('Прайс и заказ'!M:M,$J141)))</f>
      </c>
      <c r="J141" t="str">
        <f>IFERROR(MATCH(133,'Прайс и заказ'!$N$7:$N$435,0)+6,0)</f>
      </c>
    </row>
    <row r="142" spans="1:11" customHeight="1" ht="40">
      <c r="A142" s="13" t="str">
        <f>IF($J142=0,"",IFERROR(_xlfn.IMAGE(INDEX('Прайс и заказ'!$O:$O,$J142)),""))</f>
      </c>
      <c r="B142" s="61" t="str">
        <f>IF($J142=0,"",IF(INDEX('Прайс и заказ'!B:B,$J142)="","",INDEX('Прайс и заказ'!B:B,$J142)))</f>
      </c>
      <c r="C142" s="64" t="str">
        <f>IF($J142=0,"",IF(INDEX('Прайс и заказ'!C:C,$J142)="","",INDEX('Прайс и заказ'!C:C,$J142)))</f>
      </c>
      <c r="D142" s="64" t="str">
        <f>IF($J142=0,"",IF(INDEX('Прайс и заказ'!D:D,$J142)="","",INDEX('Прайс и заказ'!D:D,$J142)))</f>
      </c>
      <c r="E142" s="61" t="str">
        <f>IF($J142=0,"",IF(INDEX('Прайс и заказ'!F:F,$J142)="","",INDEX('Прайс и заказ'!F:F,$J142)))</f>
      </c>
      <c r="F142" s="62" t="str">
        <f>IF($J142=0,"",IF(INDEX('Прайс и заказ'!I:I,$J142)="","",INDEX('Прайс и заказ'!I:I,$J142)))</f>
      </c>
      <c r="G142" s="63" t="str">
        <f>IF($J142=0,"",IF(INDEX('Прайс и заказ'!K:K,$J142)="","",INDEX('Прайс и заказ'!K:K,$J142)))</f>
      </c>
      <c r="H142" s="62" t="str">
        <f>IF($J142=0,"",IF(INDEX('Прайс и заказ'!L:L,$J142)="","",INDEX('Прайс и заказ'!L:L,$J142)))</f>
      </c>
      <c r="I142" s="13" t="str">
        <f>IF($J142=0,"",IF(INDEX('Прайс и заказ'!M:M,$J142)="","",INDEX('Прайс и заказ'!M:M,$J142)))</f>
      </c>
      <c r="J142" t="str">
        <f>IFERROR(MATCH(134,'Прайс и заказ'!$N$7:$N$435,0)+6,0)</f>
      </c>
    </row>
    <row r="143" spans="1:11" customHeight="1" ht="40">
      <c r="A143" s="13" t="str">
        <f>IF($J143=0,"",IFERROR(_xlfn.IMAGE(INDEX('Прайс и заказ'!$O:$O,$J143)),""))</f>
      </c>
      <c r="B143" s="61" t="str">
        <f>IF($J143=0,"",IF(INDEX('Прайс и заказ'!B:B,$J143)="","",INDEX('Прайс и заказ'!B:B,$J143)))</f>
      </c>
      <c r="C143" s="64" t="str">
        <f>IF($J143=0,"",IF(INDEX('Прайс и заказ'!C:C,$J143)="","",INDEX('Прайс и заказ'!C:C,$J143)))</f>
      </c>
      <c r="D143" s="64" t="str">
        <f>IF($J143=0,"",IF(INDEX('Прайс и заказ'!D:D,$J143)="","",INDEX('Прайс и заказ'!D:D,$J143)))</f>
      </c>
      <c r="E143" s="61" t="str">
        <f>IF($J143=0,"",IF(INDEX('Прайс и заказ'!F:F,$J143)="","",INDEX('Прайс и заказ'!F:F,$J143)))</f>
      </c>
      <c r="F143" s="62" t="str">
        <f>IF($J143=0,"",IF(INDEX('Прайс и заказ'!I:I,$J143)="","",INDEX('Прайс и заказ'!I:I,$J143)))</f>
      </c>
      <c r="G143" s="63" t="str">
        <f>IF($J143=0,"",IF(INDEX('Прайс и заказ'!K:K,$J143)="","",INDEX('Прайс и заказ'!K:K,$J143)))</f>
      </c>
      <c r="H143" s="62" t="str">
        <f>IF($J143=0,"",IF(INDEX('Прайс и заказ'!L:L,$J143)="","",INDEX('Прайс и заказ'!L:L,$J143)))</f>
      </c>
      <c r="I143" s="13" t="str">
        <f>IF($J143=0,"",IF(INDEX('Прайс и заказ'!M:M,$J143)="","",INDEX('Прайс и заказ'!M:M,$J143)))</f>
      </c>
      <c r="J143" t="str">
        <f>IFERROR(MATCH(135,'Прайс и заказ'!$N$7:$N$435,0)+6,0)</f>
      </c>
    </row>
    <row r="144" spans="1:11" customHeight="1" ht="40">
      <c r="A144" s="13" t="str">
        <f>IF($J144=0,"",IFERROR(_xlfn.IMAGE(INDEX('Прайс и заказ'!$O:$O,$J144)),""))</f>
      </c>
      <c r="B144" s="61" t="str">
        <f>IF($J144=0,"",IF(INDEX('Прайс и заказ'!B:B,$J144)="","",INDEX('Прайс и заказ'!B:B,$J144)))</f>
      </c>
      <c r="C144" s="64" t="str">
        <f>IF($J144=0,"",IF(INDEX('Прайс и заказ'!C:C,$J144)="","",INDEX('Прайс и заказ'!C:C,$J144)))</f>
      </c>
      <c r="D144" s="64" t="str">
        <f>IF($J144=0,"",IF(INDEX('Прайс и заказ'!D:D,$J144)="","",INDEX('Прайс и заказ'!D:D,$J144)))</f>
      </c>
      <c r="E144" s="61" t="str">
        <f>IF($J144=0,"",IF(INDEX('Прайс и заказ'!F:F,$J144)="","",INDEX('Прайс и заказ'!F:F,$J144)))</f>
      </c>
      <c r="F144" s="62" t="str">
        <f>IF($J144=0,"",IF(INDEX('Прайс и заказ'!I:I,$J144)="","",INDEX('Прайс и заказ'!I:I,$J144)))</f>
      </c>
      <c r="G144" s="63" t="str">
        <f>IF($J144=0,"",IF(INDEX('Прайс и заказ'!K:K,$J144)="","",INDEX('Прайс и заказ'!K:K,$J144)))</f>
      </c>
      <c r="H144" s="62" t="str">
        <f>IF($J144=0,"",IF(INDEX('Прайс и заказ'!L:L,$J144)="","",INDEX('Прайс и заказ'!L:L,$J144)))</f>
      </c>
      <c r="I144" s="13" t="str">
        <f>IF($J144=0,"",IF(INDEX('Прайс и заказ'!M:M,$J144)="","",INDEX('Прайс и заказ'!M:M,$J144)))</f>
      </c>
      <c r="J144" t="str">
        <f>IFERROR(MATCH(136,'Прайс и заказ'!$N$7:$N$435,0)+6,0)</f>
      </c>
    </row>
    <row r="145" spans="1:11" customHeight="1" ht="40">
      <c r="A145" s="13" t="str">
        <f>IF($J145=0,"",IFERROR(_xlfn.IMAGE(INDEX('Прайс и заказ'!$O:$O,$J145)),""))</f>
      </c>
      <c r="B145" s="61" t="str">
        <f>IF($J145=0,"",IF(INDEX('Прайс и заказ'!B:B,$J145)="","",INDEX('Прайс и заказ'!B:B,$J145)))</f>
      </c>
      <c r="C145" s="64" t="str">
        <f>IF($J145=0,"",IF(INDEX('Прайс и заказ'!C:C,$J145)="","",INDEX('Прайс и заказ'!C:C,$J145)))</f>
      </c>
      <c r="D145" s="64" t="str">
        <f>IF($J145=0,"",IF(INDEX('Прайс и заказ'!D:D,$J145)="","",INDEX('Прайс и заказ'!D:D,$J145)))</f>
      </c>
      <c r="E145" s="61" t="str">
        <f>IF($J145=0,"",IF(INDEX('Прайс и заказ'!F:F,$J145)="","",INDEX('Прайс и заказ'!F:F,$J145)))</f>
      </c>
      <c r="F145" s="62" t="str">
        <f>IF($J145=0,"",IF(INDEX('Прайс и заказ'!I:I,$J145)="","",INDEX('Прайс и заказ'!I:I,$J145)))</f>
      </c>
      <c r="G145" s="63" t="str">
        <f>IF($J145=0,"",IF(INDEX('Прайс и заказ'!K:K,$J145)="","",INDEX('Прайс и заказ'!K:K,$J145)))</f>
      </c>
      <c r="H145" s="62" t="str">
        <f>IF($J145=0,"",IF(INDEX('Прайс и заказ'!L:L,$J145)="","",INDEX('Прайс и заказ'!L:L,$J145)))</f>
      </c>
      <c r="I145" s="13" t="str">
        <f>IF($J145=0,"",IF(INDEX('Прайс и заказ'!M:M,$J145)="","",INDEX('Прайс и заказ'!M:M,$J145)))</f>
      </c>
      <c r="J145" t="str">
        <f>IFERROR(MATCH(137,'Прайс и заказ'!$N$7:$N$435,0)+6,0)</f>
      </c>
    </row>
    <row r="146" spans="1:11" customHeight="1" ht="40">
      <c r="A146" s="13" t="str">
        <f>IF($J146=0,"",IFERROR(_xlfn.IMAGE(INDEX('Прайс и заказ'!$O:$O,$J146)),""))</f>
      </c>
      <c r="B146" s="61" t="str">
        <f>IF($J146=0,"",IF(INDEX('Прайс и заказ'!B:B,$J146)="","",INDEX('Прайс и заказ'!B:B,$J146)))</f>
      </c>
      <c r="C146" s="64" t="str">
        <f>IF($J146=0,"",IF(INDEX('Прайс и заказ'!C:C,$J146)="","",INDEX('Прайс и заказ'!C:C,$J146)))</f>
      </c>
      <c r="D146" s="64" t="str">
        <f>IF($J146=0,"",IF(INDEX('Прайс и заказ'!D:D,$J146)="","",INDEX('Прайс и заказ'!D:D,$J146)))</f>
      </c>
      <c r="E146" s="61" t="str">
        <f>IF($J146=0,"",IF(INDEX('Прайс и заказ'!F:F,$J146)="","",INDEX('Прайс и заказ'!F:F,$J146)))</f>
      </c>
      <c r="F146" s="62" t="str">
        <f>IF($J146=0,"",IF(INDEX('Прайс и заказ'!I:I,$J146)="","",INDEX('Прайс и заказ'!I:I,$J146)))</f>
      </c>
      <c r="G146" s="63" t="str">
        <f>IF($J146=0,"",IF(INDEX('Прайс и заказ'!K:K,$J146)="","",INDEX('Прайс и заказ'!K:K,$J146)))</f>
      </c>
      <c r="H146" s="62" t="str">
        <f>IF($J146=0,"",IF(INDEX('Прайс и заказ'!L:L,$J146)="","",INDEX('Прайс и заказ'!L:L,$J146)))</f>
      </c>
      <c r="I146" s="13" t="str">
        <f>IF($J146=0,"",IF(INDEX('Прайс и заказ'!M:M,$J146)="","",INDEX('Прайс и заказ'!M:M,$J146)))</f>
      </c>
      <c r="J146" t="str">
        <f>IFERROR(MATCH(138,'Прайс и заказ'!$N$7:$N$435,0)+6,0)</f>
      </c>
    </row>
    <row r="147" spans="1:11" customHeight="1" ht="40">
      <c r="A147" s="13" t="str">
        <f>IF($J147=0,"",IFERROR(_xlfn.IMAGE(INDEX('Прайс и заказ'!$O:$O,$J147)),""))</f>
      </c>
      <c r="B147" s="61" t="str">
        <f>IF($J147=0,"",IF(INDEX('Прайс и заказ'!B:B,$J147)="","",INDEX('Прайс и заказ'!B:B,$J147)))</f>
      </c>
      <c r="C147" s="64" t="str">
        <f>IF($J147=0,"",IF(INDEX('Прайс и заказ'!C:C,$J147)="","",INDEX('Прайс и заказ'!C:C,$J147)))</f>
      </c>
      <c r="D147" s="64" t="str">
        <f>IF($J147=0,"",IF(INDEX('Прайс и заказ'!D:D,$J147)="","",INDEX('Прайс и заказ'!D:D,$J147)))</f>
      </c>
      <c r="E147" s="61" t="str">
        <f>IF($J147=0,"",IF(INDEX('Прайс и заказ'!F:F,$J147)="","",INDEX('Прайс и заказ'!F:F,$J147)))</f>
      </c>
      <c r="F147" s="62" t="str">
        <f>IF($J147=0,"",IF(INDEX('Прайс и заказ'!I:I,$J147)="","",INDEX('Прайс и заказ'!I:I,$J147)))</f>
      </c>
      <c r="G147" s="63" t="str">
        <f>IF($J147=0,"",IF(INDEX('Прайс и заказ'!K:K,$J147)="","",INDEX('Прайс и заказ'!K:K,$J147)))</f>
      </c>
      <c r="H147" s="62" t="str">
        <f>IF($J147=0,"",IF(INDEX('Прайс и заказ'!L:L,$J147)="","",INDEX('Прайс и заказ'!L:L,$J147)))</f>
      </c>
      <c r="I147" s="13" t="str">
        <f>IF($J147=0,"",IF(INDEX('Прайс и заказ'!M:M,$J147)="","",INDEX('Прайс и заказ'!M:M,$J147)))</f>
      </c>
      <c r="J147" t="str">
        <f>IFERROR(MATCH(139,'Прайс и заказ'!$N$7:$N$435,0)+6,0)</f>
      </c>
    </row>
    <row r="148" spans="1:11" customHeight="1" ht="40">
      <c r="A148" s="13" t="str">
        <f>IF($J148=0,"",IFERROR(_xlfn.IMAGE(INDEX('Прайс и заказ'!$O:$O,$J148)),""))</f>
      </c>
      <c r="B148" s="61" t="str">
        <f>IF($J148=0,"",IF(INDEX('Прайс и заказ'!B:B,$J148)="","",INDEX('Прайс и заказ'!B:B,$J148)))</f>
      </c>
      <c r="C148" s="64" t="str">
        <f>IF($J148=0,"",IF(INDEX('Прайс и заказ'!C:C,$J148)="","",INDEX('Прайс и заказ'!C:C,$J148)))</f>
      </c>
      <c r="D148" s="64" t="str">
        <f>IF($J148=0,"",IF(INDEX('Прайс и заказ'!D:D,$J148)="","",INDEX('Прайс и заказ'!D:D,$J148)))</f>
      </c>
      <c r="E148" s="61" t="str">
        <f>IF($J148=0,"",IF(INDEX('Прайс и заказ'!F:F,$J148)="","",INDEX('Прайс и заказ'!F:F,$J148)))</f>
      </c>
      <c r="F148" s="62" t="str">
        <f>IF($J148=0,"",IF(INDEX('Прайс и заказ'!I:I,$J148)="","",INDEX('Прайс и заказ'!I:I,$J148)))</f>
      </c>
      <c r="G148" s="63" t="str">
        <f>IF($J148=0,"",IF(INDEX('Прайс и заказ'!K:K,$J148)="","",INDEX('Прайс и заказ'!K:K,$J148)))</f>
      </c>
      <c r="H148" s="62" t="str">
        <f>IF($J148=0,"",IF(INDEX('Прайс и заказ'!L:L,$J148)="","",INDEX('Прайс и заказ'!L:L,$J148)))</f>
      </c>
      <c r="I148" s="13" t="str">
        <f>IF($J148=0,"",IF(INDEX('Прайс и заказ'!M:M,$J148)="","",INDEX('Прайс и заказ'!M:M,$J148)))</f>
      </c>
      <c r="J148" t="str">
        <f>IFERROR(MATCH(140,'Прайс и заказ'!$N$7:$N$435,0)+6,0)</f>
      </c>
    </row>
    <row r="149" spans="1:11" customHeight="1" ht="40">
      <c r="A149" s="13" t="str">
        <f>IF($J149=0,"",IFERROR(_xlfn.IMAGE(INDEX('Прайс и заказ'!$O:$O,$J149)),""))</f>
      </c>
      <c r="B149" s="61" t="str">
        <f>IF($J149=0,"",IF(INDEX('Прайс и заказ'!B:B,$J149)="","",INDEX('Прайс и заказ'!B:B,$J149)))</f>
      </c>
      <c r="C149" s="64" t="str">
        <f>IF($J149=0,"",IF(INDEX('Прайс и заказ'!C:C,$J149)="","",INDEX('Прайс и заказ'!C:C,$J149)))</f>
      </c>
      <c r="D149" s="64" t="str">
        <f>IF($J149=0,"",IF(INDEX('Прайс и заказ'!D:D,$J149)="","",INDEX('Прайс и заказ'!D:D,$J149)))</f>
      </c>
      <c r="E149" s="61" t="str">
        <f>IF($J149=0,"",IF(INDEX('Прайс и заказ'!F:F,$J149)="","",INDEX('Прайс и заказ'!F:F,$J149)))</f>
      </c>
      <c r="F149" s="62" t="str">
        <f>IF($J149=0,"",IF(INDEX('Прайс и заказ'!I:I,$J149)="","",INDEX('Прайс и заказ'!I:I,$J149)))</f>
      </c>
      <c r="G149" s="63" t="str">
        <f>IF($J149=0,"",IF(INDEX('Прайс и заказ'!K:K,$J149)="","",INDEX('Прайс и заказ'!K:K,$J149)))</f>
      </c>
      <c r="H149" s="62" t="str">
        <f>IF($J149=0,"",IF(INDEX('Прайс и заказ'!L:L,$J149)="","",INDEX('Прайс и заказ'!L:L,$J149)))</f>
      </c>
      <c r="I149" s="13" t="str">
        <f>IF($J149=0,"",IF(INDEX('Прайс и заказ'!M:M,$J149)="","",INDEX('Прайс и заказ'!M:M,$J149)))</f>
      </c>
      <c r="J149" t="str">
        <f>IFERROR(MATCH(141,'Прайс и заказ'!$N$7:$N$435,0)+6,0)</f>
      </c>
    </row>
    <row r="150" spans="1:11" customHeight="1" ht="40">
      <c r="A150" s="13" t="str">
        <f>IF($J150=0,"",IFERROR(_xlfn.IMAGE(INDEX('Прайс и заказ'!$O:$O,$J150)),""))</f>
      </c>
      <c r="B150" s="61" t="str">
        <f>IF($J150=0,"",IF(INDEX('Прайс и заказ'!B:B,$J150)="","",INDEX('Прайс и заказ'!B:B,$J150)))</f>
      </c>
      <c r="C150" s="64" t="str">
        <f>IF($J150=0,"",IF(INDEX('Прайс и заказ'!C:C,$J150)="","",INDEX('Прайс и заказ'!C:C,$J150)))</f>
      </c>
      <c r="D150" s="64" t="str">
        <f>IF($J150=0,"",IF(INDEX('Прайс и заказ'!D:D,$J150)="","",INDEX('Прайс и заказ'!D:D,$J150)))</f>
      </c>
      <c r="E150" s="61" t="str">
        <f>IF($J150=0,"",IF(INDEX('Прайс и заказ'!F:F,$J150)="","",INDEX('Прайс и заказ'!F:F,$J150)))</f>
      </c>
      <c r="F150" s="62" t="str">
        <f>IF($J150=0,"",IF(INDEX('Прайс и заказ'!I:I,$J150)="","",INDEX('Прайс и заказ'!I:I,$J150)))</f>
      </c>
      <c r="G150" s="63" t="str">
        <f>IF($J150=0,"",IF(INDEX('Прайс и заказ'!K:K,$J150)="","",INDEX('Прайс и заказ'!K:K,$J150)))</f>
      </c>
      <c r="H150" s="62" t="str">
        <f>IF($J150=0,"",IF(INDEX('Прайс и заказ'!L:L,$J150)="","",INDEX('Прайс и заказ'!L:L,$J150)))</f>
      </c>
      <c r="I150" s="13" t="str">
        <f>IF($J150=0,"",IF(INDEX('Прайс и заказ'!M:M,$J150)="","",INDEX('Прайс и заказ'!M:M,$J150)))</f>
      </c>
      <c r="J150" t="str">
        <f>IFERROR(MATCH(142,'Прайс и заказ'!$N$7:$N$435,0)+6,0)</f>
      </c>
    </row>
    <row r="151" spans="1:11" customHeight="1" ht="40">
      <c r="A151" s="13" t="str">
        <f>IF($J151=0,"",IFERROR(_xlfn.IMAGE(INDEX('Прайс и заказ'!$O:$O,$J151)),""))</f>
      </c>
      <c r="B151" s="61" t="str">
        <f>IF($J151=0,"",IF(INDEX('Прайс и заказ'!B:B,$J151)="","",INDEX('Прайс и заказ'!B:B,$J151)))</f>
      </c>
      <c r="C151" s="64" t="str">
        <f>IF($J151=0,"",IF(INDEX('Прайс и заказ'!C:C,$J151)="","",INDEX('Прайс и заказ'!C:C,$J151)))</f>
      </c>
      <c r="D151" s="64" t="str">
        <f>IF($J151=0,"",IF(INDEX('Прайс и заказ'!D:D,$J151)="","",INDEX('Прайс и заказ'!D:D,$J151)))</f>
      </c>
      <c r="E151" s="61" t="str">
        <f>IF($J151=0,"",IF(INDEX('Прайс и заказ'!F:F,$J151)="","",INDEX('Прайс и заказ'!F:F,$J151)))</f>
      </c>
      <c r="F151" s="62" t="str">
        <f>IF($J151=0,"",IF(INDEX('Прайс и заказ'!I:I,$J151)="","",INDEX('Прайс и заказ'!I:I,$J151)))</f>
      </c>
      <c r="G151" s="63" t="str">
        <f>IF($J151=0,"",IF(INDEX('Прайс и заказ'!K:K,$J151)="","",INDEX('Прайс и заказ'!K:K,$J151)))</f>
      </c>
      <c r="H151" s="62" t="str">
        <f>IF($J151=0,"",IF(INDEX('Прайс и заказ'!L:L,$J151)="","",INDEX('Прайс и заказ'!L:L,$J151)))</f>
      </c>
      <c r="I151" s="13" t="str">
        <f>IF($J151=0,"",IF(INDEX('Прайс и заказ'!M:M,$J151)="","",INDEX('Прайс и заказ'!M:M,$J151)))</f>
      </c>
      <c r="J151" t="str">
        <f>IFERROR(MATCH(143,'Прайс и заказ'!$N$7:$N$435,0)+6,0)</f>
      </c>
    </row>
    <row r="152" spans="1:11" customHeight="1" ht="40">
      <c r="A152" s="13" t="str">
        <f>IF($J152=0,"",IFERROR(_xlfn.IMAGE(INDEX('Прайс и заказ'!$O:$O,$J152)),""))</f>
      </c>
      <c r="B152" s="61" t="str">
        <f>IF($J152=0,"",IF(INDEX('Прайс и заказ'!B:B,$J152)="","",INDEX('Прайс и заказ'!B:B,$J152)))</f>
      </c>
      <c r="C152" s="64" t="str">
        <f>IF($J152=0,"",IF(INDEX('Прайс и заказ'!C:C,$J152)="","",INDEX('Прайс и заказ'!C:C,$J152)))</f>
      </c>
      <c r="D152" s="64" t="str">
        <f>IF($J152=0,"",IF(INDEX('Прайс и заказ'!D:D,$J152)="","",INDEX('Прайс и заказ'!D:D,$J152)))</f>
      </c>
      <c r="E152" s="61" t="str">
        <f>IF($J152=0,"",IF(INDEX('Прайс и заказ'!F:F,$J152)="","",INDEX('Прайс и заказ'!F:F,$J152)))</f>
      </c>
      <c r="F152" s="62" t="str">
        <f>IF($J152=0,"",IF(INDEX('Прайс и заказ'!I:I,$J152)="","",INDEX('Прайс и заказ'!I:I,$J152)))</f>
      </c>
      <c r="G152" s="63" t="str">
        <f>IF($J152=0,"",IF(INDEX('Прайс и заказ'!K:K,$J152)="","",INDEX('Прайс и заказ'!K:K,$J152)))</f>
      </c>
      <c r="H152" s="62" t="str">
        <f>IF($J152=0,"",IF(INDEX('Прайс и заказ'!L:L,$J152)="","",INDEX('Прайс и заказ'!L:L,$J152)))</f>
      </c>
      <c r="I152" s="13" t="str">
        <f>IF($J152=0,"",IF(INDEX('Прайс и заказ'!M:M,$J152)="","",INDEX('Прайс и заказ'!M:M,$J152)))</f>
      </c>
      <c r="J152" t="str">
        <f>IFERROR(MATCH(144,'Прайс и заказ'!$N$7:$N$435,0)+6,0)</f>
      </c>
    </row>
    <row r="153" spans="1:11" customHeight="1" ht="40">
      <c r="A153" s="13" t="str">
        <f>IF($J153=0,"",IFERROR(_xlfn.IMAGE(INDEX('Прайс и заказ'!$O:$O,$J153)),""))</f>
      </c>
      <c r="B153" s="61" t="str">
        <f>IF($J153=0,"",IF(INDEX('Прайс и заказ'!B:B,$J153)="","",INDEX('Прайс и заказ'!B:B,$J153)))</f>
      </c>
      <c r="C153" s="64" t="str">
        <f>IF($J153=0,"",IF(INDEX('Прайс и заказ'!C:C,$J153)="","",INDEX('Прайс и заказ'!C:C,$J153)))</f>
      </c>
      <c r="D153" s="64" t="str">
        <f>IF($J153=0,"",IF(INDEX('Прайс и заказ'!D:D,$J153)="","",INDEX('Прайс и заказ'!D:D,$J153)))</f>
      </c>
      <c r="E153" s="61" t="str">
        <f>IF($J153=0,"",IF(INDEX('Прайс и заказ'!F:F,$J153)="","",INDEX('Прайс и заказ'!F:F,$J153)))</f>
      </c>
      <c r="F153" s="62" t="str">
        <f>IF($J153=0,"",IF(INDEX('Прайс и заказ'!I:I,$J153)="","",INDEX('Прайс и заказ'!I:I,$J153)))</f>
      </c>
      <c r="G153" s="63" t="str">
        <f>IF($J153=0,"",IF(INDEX('Прайс и заказ'!K:K,$J153)="","",INDEX('Прайс и заказ'!K:K,$J153)))</f>
      </c>
      <c r="H153" s="62" t="str">
        <f>IF($J153=0,"",IF(INDEX('Прайс и заказ'!L:L,$J153)="","",INDEX('Прайс и заказ'!L:L,$J153)))</f>
      </c>
      <c r="I153" s="13" t="str">
        <f>IF($J153=0,"",IF(INDEX('Прайс и заказ'!M:M,$J153)="","",INDEX('Прайс и заказ'!M:M,$J153)))</f>
      </c>
      <c r="J153" t="str">
        <f>IFERROR(MATCH(145,'Прайс и заказ'!$N$7:$N$435,0)+6,0)</f>
      </c>
    </row>
    <row r="154" spans="1:11" customHeight="1" ht="40">
      <c r="A154" s="13" t="str">
        <f>IF($J154=0,"",IFERROR(_xlfn.IMAGE(INDEX('Прайс и заказ'!$O:$O,$J154)),""))</f>
      </c>
      <c r="B154" s="61" t="str">
        <f>IF($J154=0,"",IF(INDEX('Прайс и заказ'!B:B,$J154)="","",INDEX('Прайс и заказ'!B:B,$J154)))</f>
      </c>
      <c r="C154" s="64" t="str">
        <f>IF($J154=0,"",IF(INDEX('Прайс и заказ'!C:C,$J154)="","",INDEX('Прайс и заказ'!C:C,$J154)))</f>
      </c>
      <c r="D154" s="64" t="str">
        <f>IF($J154=0,"",IF(INDEX('Прайс и заказ'!D:D,$J154)="","",INDEX('Прайс и заказ'!D:D,$J154)))</f>
      </c>
      <c r="E154" s="61" t="str">
        <f>IF($J154=0,"",IF(INDEX('Прайс и заказ'!F:F,$J154)="","",INDEX('Прайс и заказ'!F:F,$J154)))</f>
      </c>
      <c r="F154" s="62" t="str">
        <f>IF($J154=0,"",IF(INDEX('Прайс и заказ'!I:I,$J154)="","",INDEX('Прайс и заказ'!I:I,$J154)))</f>
      </c>
      <c r="G154" s="63" t="str">
        <f>IF($J154=0,"",IF(INDEX('Прайс и заказ'!K:K,$J154)="","",INDEX('Прайс и заказ'!K:K,$J154)))</f>
      </c>
      <c r="H154" s="62" t="str">
        <f>IF($J154=0,"",IF(INDEX('Прайс и заказ'!L:L,$J154)="","",INDEX('Прайс и заказ'!L:L,$J154)))</f>
      </c>
      <c r="I154" s="13" t="str">
        <f>IF($J154=0,"",IF(INDEX('Прайс и заказ'!M:M,$J154)="","",INDEX('Прайс и заказ'!M:M,$J154)))</f>
      </c>
      <c r="J154" t="str">
        <f>IFERROR(MATCH(146,'Прайс и заказ'!$N$7:$N$435,0)+6,0)</f>
      </c>
    </row>
    <row r="155" spans="1:11" customHeight="1" ht="40">
      <c r="A155" s="13" t="str">
        <f>IF($J155=0,"",IFERROR(_xlfn.IMAGE(INDEX('Прайс и заказ'!$O:$O,$J155)),""))</f>
      </c>
      <c r="B155" s="61" t="str">
        <f>IF($J155=0,"",IF(INDEX('Прайс и заказ'!B:B,$J155)="","",INDEX('Прайс и заказ'!B:B,$J155)))</f>
      </c>
      <c r="C155" s="64" t="str">
        <f>IF($J155=0,"",IF(INDEX('Прайс и заказ'!C:C,$J155)="","",INDEX('Прайс и заказ'!C:C,$J155)))</f>
      </c>
      <c r="D155" s="64" t="str">
        <f>IF($J155=0,"",IF(INDEX('Прайс и заказ'!D:D,$J155)="","",INDEX('Прайс и заказ'!D:D,$J155)))</f>
      </c>
      <c r="E155" s="61" t="str">
        <f>IF($J155=0,"",IF(INDEX('Прайс и заказ'!F:F,$J155)="","",INDEX('Прайс и заказ'!F:F,$J155)))</f>
      </c>
      <c r="F155" s="62" t="str">
        <f>IF($J155=0,"",IF(INDEX('Прайс и заказ'!I:I,$J155)="","",INDEX('Прайс и заказ'!I:I,$J155)))</f>
      </c>
      <c r="G155" s="63" t="str">
        <f>IF($J155=0,"",IF(INDEX('Прайс и заказ'!K:K,$J155)="","",INDEX('Прайс и заказ'!K:K,$J155)))</f>
      </c>
      <c r="H155" s="62" t="str">
        <f>IF($J155=0,"",IF(INDEX('Прайс и заказ'!L:L,$J155)="","",INDEX('Прайс и заказ'!L:L,$J155)))</f>
      </c>
      <c r="I155" s="13" t="str">
        <f>IF($J155=0,"",IF(INDEX('Прайс и заказ'!M:M,$J155)="","",INDEX('Прайс и заказ'!M:M,$J155)))</f>
      </c>
      <c r="J155" t="str">
        <f>IFERROR(MATCH(147,'Прайс и заказ'!$N$7:$N$435,0)+6,0)</f>
      </c>
    </row>
    <row r="156" spans="1:11" customHeight="1" ht="40">
      <c r="A156" s="13" t="str">
        <f>IF($J156=0,"",IFERROR(_xlfn.IMAGE(INDEX('Прайс и заказ'!$O:$O,$J156)),""))</f>
      </c>
      <c r="B156" s="61" t="str">
        <f>IF($J156=0,"",IF(INDEX('Прайс и заказ'!B:B,$J156)="","",INDEX('Прайс и заказ'!B:B,$J156)))</f>
      </c>
      <c r="C156" s="64" t="str">
        <f>IF($J156=0,"",IF(INDEX('Прайс и заказ'!C:C,$J156)="","",INDEX('Прайс и заказ'!C:C,$J156)))</f>
      </c>
      <c r="D156" s="64" t="str">
        <f>IF($J156=0,"",IF(INDEX('Прайс и заказ'!D:D,$J156)="","",INDEX('Прайс и заказ'!D:D,$J156)))</f>
      </c>
      <c r="E156" s="61" t="str">
        <f>IF($J156=0,"",IF(INDEX('Прайс и заказ'!F:F,$J156)="","",INDEX('Прайс и заказ'!F:F,$J156)))</f>
      </c>
      <c r="F156" s="62" t="str">
        <f>IF($J156=0,"",IF(INDEX('Прайс и заказ'!I:I,$J156)="","",INDEX('Прайс и заказ'!I:I,$J156)))</f>
      </c>
      <c r="G156" s="63" t="str">
        <f>IF($J156=0,"",IF(INDEX('Прайс и заказ'!K:K,$J156)="","",INDEX('Прайс и заказ'!K:K,$J156)))</f>
      </c>
      <c r="H156" s="62" t="str">
        <f>IF($J156=0,"",IF(INDEX('Прайс и заказ'!L:L,$J156)="","",INDEX('Прайс и заказ'!L:L,$J156)))</f>
      </c>
      <c r="I156" s="13" t="str">
        <f>IF($J156=0,"",IF(INDEX('Прайс и заказ'!M:M,$J156)="","",INDEX('Прайс и заказ'!M:M,$J156)))</f>
      </c>
      <c r="J156" t="str">
        <f>IFERROR(MATCH(148,'Прайс и заказ'!$N$7:$N$435,0)+6,0)</f>
      </c>
    </row>
    <row r="157" spans="1:11" customHeight="1" ht="40">
      <c r="A157" s="13" t="str">
        <f>IF($J157=0,"",IFERROR(_xlfn.IMAGE(INDEX('Прайс и заказ'!$O:$O,$J157)),""))</f>
      </c>
      <c r="B157" s="61" t="str">
        <f>IF($J157=0,"",IF(INDEX('Прайс и заказ'!B:B,$J157)="","",INDEX('Прайс и заказ'!B:B,$J157)))</f>
      </c>
      <c r="C157" s="64" t="str">
        <f>IF($J157=0,"",IF(INDEX('Прайс и заказ'!C:C,$J157)="","",INDEX('Прайс и заказ'!C:C,$J157)))</f>
      </c>
      <c r="D157" s="64" t="str">
        <f>IF($J157=0,"",IF(INDEX('Прайс и заказ'!D:D,$J157)="","",INDEX('Прайс и заказ'!D:D,$J157)))</f>
      </c>
      <c r="E157" s="61" t="str">
        <f>IF($J157=0,"",IF(INDEX('Прайс и заказ'!F:F,$J157)="","",INDEX('Прайс и заказ'!F:F,$J157)))</f>
      </c>
      <c r="F157" s="62" t="str">
        <f>IF($J157=0,"",IF(INDEX('Прайс и заказ'!I:I,$J157)="","",INDEX('Прайс и заказ'!I:I,$J157)))</f>
      </c>
      <c r="G157" s="63" t="str">
        <f>IF($J157=0,"",IF(INDEX('Прайс и заказ'!K:K,$J157)="","",INDEX('Прайс и заказ'!K:K,$J157)))</f>
      </c>
      <c r="H157" s="62" t="str">
        <f>IF($J157=0,"",IF(INDEX('Прайс и заказ'!L:L,$J157)="","",INDEX('Прайс и заказ'!L:L,$J157)))</f>
      </c>
      <c r="I157" s="13" t="str">
        <f>IF($J157=0,"",IF(INDEX('Прайс и заказ'!M:M,$J157)="","",INDEX('Прайс и заказ'!M:M,$J157)))</f>
      </c>
      <c r="J157" t="str">
        <f>IFERROR(MATCH(149,'Прайс и заказ'!$N$7:$N$435,0)+6,0)</f>
      </c>
    </row>
    <row r="158" spans="1:11" customHeight="1" ht="40">
      <c r="A158" s="13" t="str">
        <f>IF($J158=0,"",IFERROR(_xlfn.IMAGE(INDEX('Прайс и заказ'!$O:$O,$J158)),""))</f>
      </c>
      <c r="B158" s="61" t="str">
        <f>IF($J158=0,"",IF(INDEX('Прайс и заказ'!B:B,$J158)="","",INDEX('Прайс и заказ'!B:B,$J158)))</f>
      </c>
      <c r="C158" s="64" t="str">
        <f>IF($J158=0,"",IF(INDEX('Прайс и заказ'!C:C,$J158)="","",INDEX('Прайс и заказ'!C:C,$J158)))</f>
      </c>
      <c r="D158" s="64" t="str">
        <f>IF($J158=0,"",IF(INDEX('Прайс и заказ'!D:D,$J158)="","",INDEX('Прайс и заказ'!D:D,$J158)))</f>
      </c>
      <c r="E158" s="61" t="str">
        <f>IF($J158=0,"",IF(INDEX('Прайс и заказ'!F:F,$J158)="","",INDEX('Прайс и заказ'!F:F,$J158)))</f>
      </c>
      <c r="F158" s="62" t="str">
        <f>IF($J158=0,"",IF(INDEX('Прайс и заказ'!I:I,$J158)="","",INDEX('Прайс и заказ'!I:I,$J158)))</f>
      </c>
      <c r="G158" s="63" t="str">
        <f>IF($J158=0,"",IF(INDEX('Прайс и заказ'!K:K,$J158)="","",INDEX('Прайс и заказ'!K:K,$J158)))</f>
      </c>
      <c r="H158" s="62" t="str">
        <f>IF($J158=0,"",IF(INDEX('Прайс и заказ'!L:L,$J158)="","",INDEX('Прайс и заказ'!L:L,$J158)))</f>
      </c>
      <c r="I158" s="13" t="str">
        <f>IF($J158=0,"",IF(INDEX('Прайс и заказ'!M:M,$J158)="","",INDEX('Прайс и заказ'!M:M,$J158)))</f>
      </c>
      <c r="J158" t="str">
        <f>IFERROR(MATCH(150,'Прайс и заказ'!$N$7:$N$435,0)+6,0)</f>
      </c>
    </row>
    <row r="159" spans="1:11" customHeight="1" ht="40">
      <c r="A159" s="13" t="str">
        <f>IF($J159=0,"",IFERROR(_xlfn.IMAGE(INDEX('Прайс и заказ'!$O:$O,$J159)),""))</f>
      </c>
      <c r="B159" s="61" t="str">
        <f>IF($J159=0,"",IF(INDEX('Прайс и заказ'!B:B,$J159)="","",INDEX('Прайс и заказ'!B:B,$J159)))</f>
      </c>
      <c r="C159" s="64" t="str">
        <f>IF($J159=0,"",IF(INDEX('Прайс и заказ'!C:C,$J159)="","",INDEX('Прайс и заказ'!C:C,$J159)))</f>
      </c>
      <c r="D159" s="64" t="str">
        <f>IF($J159=0,"",IF(INDEX('Прайс и заказ'!D:D,$J159)="","",INDEX('Прайс и заказ'!D:D,$J159)))</f>
      </c>
      <c r="E159" s="61" t="str">
        <f>IF($J159=0,"",IF(INDEX('Прайс и заказ'!F:F,$J159)="","",INDEX('Прайс и заказ'!F:F,$J159)))</f>
      </c>
      <c r="F159" s="62" t="str">
        <f>IF($J159=0,"",IF(INDEX('Прайс и заказ'!I:I,$J159)="","",INDEX('Прайс и заказ'!I:I,$J159)))</f>
      </c>
      <c r="G159" s="63" t="str">
        <f>IF($J159=0,"",IF(INDEX('Прайс и заказ'!K:K,$J159)="","",INDEX('Прайс и заказ'!K:K,$J159)))</f>
      </c>
      <c r="H159" s="62" t="str">
        <f>IF($J159=0,"",IF(INDEX('Прайс и заказ'!L:L,$J159)="","",INDEX('Прайс и заказ'!L:L,$J159)))</f>
      </c>
      <c r="I159" s="13" t="str">
        <f>IF($J159=0,"",IF(INDEX('Прайс и заказ'!M:M,$J159)="","",INDEX('Прайс и заказ'!M:M,$J159)))</f>
      </c>
      <c r="J159" t="str">
        <f>IFERROR(MATCH(151,'Прайс и заказ'!$N$7:$N$435,0)+6,0)</f>
      </c>
    </row>
    <row r="160" spans="1:11" customHeight="1" ht="40">
      <c r="A160" s="13" t="str">
        <f>IF($J160=0,"",IFERROR(_xlfn.IMAGE(INDEX('Прайс и заказ'!$O:$O,$J160)),""))</f>
      </c>
      <c r="B160" s="61" t="str">
        <f>IF($J160=0,"",IF(INDEX('Прайс и заказ'!B:B,$J160)="","",INDEX('Прайс и заказ'!B:B,$J160)))</f>
      </c>
      <c r="C160" s="64" t="str">
        <f>IF($J160=0,"",IF(INDEX('Прайс и заказ'!C:C,$J160)="","",INDEX('Прайс и заказ'!C:C,$J160)))</f>
      </c>
      <c r="D160" s="64" t="str">
        <f>IF($J160=0,"",IF(INDEX('Прайс и заказ'!D:D,$J160)="","",INDEX('Прайс и заказ'!D:D,$J160)))</f>
      </c>
      <c r="E160" s="61" t="str">
        <f>IF($J160=0,"",IF(INDEX('Прайс и заказ'!F:F,$J160)="","",INDEX('Прайс и заказ'!F:F,$J160)))</f>
      </c>
      <c r="F160" s="62" t="str">
        <f>IF($J160=0,"",IF(INDEX('Прайс и заказ'!I:I,$J160)="","",INDEX('Прайс и заказ'!I:I,$J160)))</f>
      </c>
      <c r="G160" s="63" t="str">
        <f>IF($J160=0,"",IF(INDEX('Прайс и заказ'!K:K,$J160)="","",INDEX('Прайс и заказ'!K:K,$J160)))</f>
      </c>
      <c r="H160" s="62" t="str">
        <f>IF($J160=0,"",IF(INDEX('Прайс и заказ'!L:L,$J160)="","",INDEX('Прайс и заказ'!L:L,$J160)))</f>
      </c>
      <c r="I160" s="13" t="str">
        <f>IF($J160=0,"",IF(INDEX('Прайс и заказ'!M:M,$J160)="","",INDEX('Прайс и заказ'!M:M,$J160)))</f>
      </c>
      <c r="J160" t="str">
        <f>IFERROR(MATCH(152,'Прайс и заказ'!$N$7:$N$435,0)+6,0)</f>
      </c>
    </row>
    <row r="161" spans="1:11" customHeight="1" ht="40">
      <c r="A161" s="13" t="str">
        <f>IF($J161=0,"",IFERROR(_xlfn.IMAGE(INDEX('Прайс и заказ'!$O:$O,$J161)),""))</f>
      </c>
      <c r="B161" s="61" t="str">
        <f>IF($J161=0,"",IF(INDEX('Прайс и заказ'!B:B,$J161)="","",INDEX('Прайс и заказ'!B:B,$J161)))</f>
      </c>
      <c r="C161" s="64" t="str">
        <f>IF($J161=0,"",IF(INDEX('Прайс и заказ'!C:C,$J161)="","",INDEX('Прайс и заказ'!C:C,$J161)))</f>
      </c>
      <c r="D161" s="64" t="str">
        <f>IF($J161=0,"",IF(INDEX('Прайс и заказ'!D:D,$J161)="","",INDEX('Прайс и заказ'!D:D,$J161)))</f>
      </c>
      <c r="E161" s="61" t="str">
        <f>IF($J161=0,"",IF(INDEX('Прайс и заказ'!F:F,$J161)="","",INDEX('Прайс и заказ'!F:F,$J161)))</f>
      </c>
      <c r="F161" s="62" t="str">
        <f>IF($J161=0,"",IF(INDEX('Прайс и заказ'!I:I,$J161)="","",INDEX('Прайс и заказ'!I:I,$J161)))</f>
      </c>
      <c r="G161" s="63" t="str">
        <f>IF($J161=0,"",IF(INDEX('Прайс и заказ'!K:K,$J161)="","",INDEX('Прайс и заказ'!K:K,$J161)))</f>
      </c>
      <c r="H161" s="62" t="str">
        <f>IF($J161=0,"",IF(INDEX('Прайс и заказ'!L:L,$J161)="","",INDEX('Прайс и заказ'!L:L,$J161)))</f>
      </c>
      <c r="I161" s="13" t="str">
        <f>IF($J161=0,"",IF(INDEX('Прайс и заказ'!M:M,$J161)="","",INDEX('Прайс и заказ'!M:M,$J161)))</f>
      </c>
      <c r="J161" t="str">
        <f>IFERROR(MATCH(153,'Прайс и заказ'!$N$7:$N$435,0)+6,0)</f>
      </c>
    </row>
    <row r="162" spans="1:11" customHeight="1" ht="40">
      <c r="A162" s="13" t="str">
        <f>IF($J162=0,"",IFERROR(_xlfn.IMAGE(INDEX('Прайс и заказ'!$O:$O,$J162)),""))</f>
      </c>
      <c r="B162" s="61" t="str">
        <f>IF($J162=0,"",IF(INDEX('Прайс и заказ'!B:B,$J162)="","",INDEX('Прайс и заказ'!B:B,$J162)))</f>
      </c>
      <c r="C162" s="64" t="str">
        <f>IF($J162=0,"",IF(INDEX('Прайс и заказ'!C:C,$J162)="","",INDEX('Прайс и заказ'!C:C,$J162)))</f>
      </c>
      <c r="D162" s="64" t="str">
        <f>IF($J162=0,"",IF(INDEX('Прайс и заказ'!D:D,$J162)="","",INDEX('Прайс и заказ'!D:D,$J162)))</f>
      </c>
      <c r="E162" s="61" t="str">
        <f>IF($J162=0,"",IF(INDEX('Прайс и заказ'!F:F,$J162)="","",INDEX('Прайс и заказ'!F:F,$J162)))</f>
      </c>
      <c r="F162" s="62" t="str">
        <f>IF($J162=0,"",IF(INDEX('Прайс и заказ'!I:I,$J162)="","",INDEX('Прайс и заказ'!I:I,$J162)))</f>
      </c>
      <c r="G162" s="63" t="str">
        <f>IF($J162=0,"",IF(INDEX('Прайс и заказ'!K:K,$J162)="","",INDEX('Прайс и заказ'!K:K,$J162)))</f>
      </c>
      <c r="H162" s="62" t="str">
        <f>IF($J162=0,"",IF(INDEX('Прайс и заказ'!L:L,$J162)="","",INDEX('Прайс и заказ'!L:L,$J162)))</f>
      </c>
      <c r="I162" s="13" t="str">
        <f>IF($J162=0,"",IF(INDEX('Прайс и заказ'!M:M,$J162)="","",INDEX('Прайс и заказ'!M:M,$J162)))</f>
      </c>
      <c r="J162" t="str">
        <f>IFERROR(MATCH(154,'Прайс и заказ'!$N$7:$N$435,0)+6,0)</f>
      </c>
    </row>
    <row r="163" spans="1:11" customHeight="1" ht="40">
      <c r="A163" s="13" t="str">
        <f>IF($J163=0,"",IFERROR(_xlfn.IMAGE(INDEX('Прайс и заказ'!$O:$O,$J163)),""))</f>
      </c>
      <c r="B163" s="61" t="str">
        <f>IF($J163=0,"",IF(INDEX('Прайс и заказ'!B:B,$J163)="","",INDEX('Прайс и заказ'!B:B,$J163)))</f>
      </c>
      <c r="C163" s="64" t="str">
        <f>IF($J163=0,"",IF(INDEX('Прайс и заказ'!C:C,$J163)="","",INDEX('Прайс и заказ'!C:C,$J163)))</f>
      </c>
      <c r="D163" s="64" t="str">
        <f>IF($J163=0,"",IF(INDEX('Прайс и заказ'!D:D,$J163)="","",INDEX('Прайс и заказ'!D:D,$J163)))</f>
      </c>
      <c r="E163" s="61" t="str">
        <f>IF($J163=0,"",IF(INDEX('Прайс и заказ'!F:F,$J163)="","",INDEX('Прайс и заказ'!F:F,$J163)))</f>
      </c>
      <c r="F163" s="62" t="str">
        <f>IF($J163=0,"",IF(INDEX('Прайс и заказ'!I:I,$J163)="","",INDEX('Прайс и заказ'!I:I,$J163)))</f>
      </c>
      <c r="G163" s="63" t="str">
        <f>IF($J163=0,"",IF(INDEX('Прайс и заказ'!K:K,$J163)="","",INDEX('Прайс и заказ'!K:K,$J163)))</f>
      </c>
      <c r="H163" s="62" t="str">
        <f>IF($J163=0,"",IF(INDEX('Прайс и заказ'!L:L,$J163)="","",INDEX('Прайс и заказ'!L:L,$J163)))</f>
      </c>
      <c r="I163" s="13" t="str">
        <f>IF($J163=0,"",IF(INDEX('Прайс и заказ'!M:M,$J163)="","",INDEX('Прайс и заказ'!M:M,$J163)))</f>
      </c>
      <c r="J163" t="str">
        <f>IFERROR(MATCH(155,'Прайс и заказ'!$N$7:$N$435,0)+6,0)</f>
      </c>
    </row>
    <row r="164" spans="1:11" customHeight="1" ht="40">
      <c r="A164" s="13" t="str">
        <f>IF($J164=0,"",IFERROR(_xlfn.IMAGE(INDEX('Прайс и заказ'!$O:$O,$J164)),""))</f>
      </c>
      <c r="B164" s="61" t="str">
        <f>IF($J164=0,"",IF(INDEX('Прайс и заказ'!B:B,$J164)="","",INDEX('Прайс и заказ'!B:B,$J164)))</f>
      </c>
      <c r="C164" s="64" t="str">
        <f>IF($J164=0,"",IF(INDEX('Прайс и заказ'!C:C,$J164)="","",INDEX('Прайс и заказ'!C:C,$J164)))</f>
      </c>
      <c r="D164" s="64" t="str">
        <f>IF($J164=0,"",IF(INDEX('Прайс и заказ'!D:D,$J164)="","",INDEX('Прайс и заказ'!D:D,$J164)))</f>
      </c>
      <c r="E164" s="61" t="str">
        <f>IF($J164=0,"",IF(INDEX('Прайс и заказ'!F:F,$J164)="","",INDEX('Прайс и заказ'!F:F,$J164)))</f>
      </c>
      <c r="F164" s="62" t="str">
        <f>IF($J164=0,"",IF(INDEX('Прайс и заказ'!I:I,$J164)="","",INDEX('Прайс и заказ'!I:I,$J164)))</f>
      </c>
      <c r="G164" s="63" t="str">
        <f>IF($J164=0,"",IF(INDEX('Прайс и заказ'!K:K,$J164)="","",INDEX('Прайс и заказ'!K:K,$J164)))</f>
      </c>
      <c r="H164" s="62" t="str">
        <f>IF($J164=0,"",IF(INDEX('Прайс и заказ'!L:L,$J164)="","",INDEX('Прайс и заказ'!L:L,$J164)))</f>
      </c>
      <c r="I164" s="13" t="str">
        <f>IF($J164=0,"",IF(INDEX('Прайс и заказ'!M:M,$J164)="","",INDEX('Прайс и заказ'!M:M,$J164)))</f>
      </c>
      <c r="J164" t="str">
        <f>IFERROR(MATCH(156,'Прайс и заказ'!$N$7:$N$435,0)+6,0)</f>
      </c>
    </row>
    <row r="165" spans="1:11" customHeight="1" ht="40">
      <c r="A165" s="13" t="str">
        <f>IF($J165=0,"",IFERROR(_xlfn.IMAGE(INDEX('Прайс и заказ'!$O:$O,$J165)),""))</f>
      </c>
      <c r="B165" s="61" t="str">
        <f>IF($J165=0,"",IF(INDEX('Прайс и заказ'!B:B,$J165)="","",INDEX('Прайс и заказ'!B:B,$J165)))</f>
      </c>
      <c r="C165" s="64" t="str">
        <f>IF($J165=0,"",IF(INDEX('Прайс и заказ'!C:C,$J165)="","",INDEX('Прайс и заказ'!C:C,$J165)))</f>
      </c>
      <c r="D165" s="64" t="str">
        <f>IF($J165=0,"",IF(INDEX('Прайс и заказ'!D:D,$J165)="","",INDEX('Прайс и заказ'!D:D,$J165)))</f>
      </c>
      <c r="E165" s="61" t="str">
        <f>IF($J165=0,"",IF(INDEX('Прайс и заказ'!F:F,$J165)="","",INDEX('Прайс и заказ'!F:F,$J165)))</f>
      </c>
      <c r="F165" s="62" t="str">
        <f>IF($J165=0,"",IF(INDEX('Прайс и заказ'!I:I,$J165)="","",INDEX('Прайс и заказ'!I:I,$J165)))</f>
      </c>
      <c r="G165" s="63" t="str">
        <f>IF($J165=0,"",IF(INDEX('Прайс и заказ'!K:K,$J165)="","",INDEX('Прайс и заказ'!K:K,$J165)))</f>
      </c>
      <c r="H165" s="62" t="str">
        <f>IF($J165=0,"",IF(INDEX('Прайс и заказ'!L:L,$J165)="","",INDEX('Прайс и заказ'!L:L,$J165)))</f>
      </c>
      <c r="I165" s="13" t="str">
        <f>IF($J165=0,"",IF(INDEX('Прайс и заказ'!M:M,$J165)="","",INDEX('Прайс и заказ'!M:M,$J165)))</f>
      </c>
      <c r="J165" t="str">
        <f>IFERROR(MATCH(157,'Прайс и заказ'!$N$7:$N$435,0)+6,0)</f>
      </c>
    </row>
    <row r="166" spans="1:11" customHeight="1" ht="40">
      <c r="A166" s="13" t="str">
        <f>IF($J166=0,"",IFERROR(_xlfn.IMAGE(INDEX('Прайс и заказ'!$O:$O,$J166)),""))</f>
      </c>
      <c r="B166" s="61" t="str">
        <f>IF($J166=0,"",IF(INDEX('Прайс и заказ'!B:B,$J166)="","",INDEX('Прайс и заказ'!B:B,$J166)))</f>
      </c>
      <c r="C166" s="64" t="str">
        <f>IF($J166=0,"",IF(INDEX('Прайс и заказ'!C:C,$J166)="","",INDEX('Прайс и заказ'!C:C,$J166)))</f>
      </c>
      <c r="D166" s="64" t="str">
        <f>IF($J166=0,"",IF(INDEX('Прайс и заказ'!D:D,$J166)="","",INDEX('Прайс и заказ'!D:D,$J166)))</f>
      </c>
      <c r="E166" s="61" t="str">
        <f>IF($J166=0,"",IF(INDEX('Прайс и заказ'!F:F,$J166)="","",INDEX('Прайс и заказ'!F:F,$J166)))</f>
      </c>
      <c r="F166" s="62" t="str">
        <f>IF($J166=0,"",IF(INDEX('Прайс и заказ'!I:I,$J166)="","",INDEX('Прайс и заказ'!I:I,$J166)))</f>
      </c>
      <c r="G166" s="63" t="str">
        <f>IF($J166=0,"",IF(INDEX('Прайс и заказ'!K:K,$J166)="","",INDEX('Прайс и заказ'!K:K,$J166)))</f>
      </c>
      <c r="H166" s="62" t="str">
        <f>IF($J166=0,"",IF(INDEX('Прайс и заказ'!L:L,$J166)="","",INDEX('Прайс и заказ'!L:L,$J166)))</f>
      </c>
      <c r="I166" s="13" t="str">
        <f>IF($J166=0,"",IF(INDEX('Прайс и заказ'!M:M,$J166)="","",INDEX('Прайс и заказ'!M:M,$J166)))</f>
      </c>
      <c r="J166" t="str">
        <f>IFERROR(MATCH(158,'Прайс и заказ'!$N$7:$N$435,0)+6,0)</f>
      </c>
    </row>
    <row r="167" spans="1:11" customHeight="1" ht="40">
      <c r="A167" s="13" t="str">
        <f>IF($J167=0,"",IFERROR(_xlfn.IMAGE(INDEX('Прайс и заказ'!$O:$O,$J167)),""))</f>
      </c>
      <c r="B167" s="61" t="str">
        <f>IF($J167=0,"",IF(INDEX('Прайс и заказ'!B:B,$J167)="","",INDEX('Прайс и заказ'!B:B,$J167)))</f>
      </c>
      <c r="C167" s="64" t="str">
        <f>IF($J167=0,"",IF(INDEX('Прайс и заказ'!C:C,$J167)="","",INDEX('Прайс и заказ'!C:C,$J167)))</f>
      </c>
      <c r="D167" s="64" t="str">
        <f>IF($J167=0,"",IF(INDEX('Прайс и заказ'!D:D,$J167)="","",INDEX('Прайс и заказ'!D:D,$J167)))</f>
      </c>
      <c r="E167" s="61" t="str">
        <f>IF($J167=0,"",IF(INDEX('Прайс и заказ'!F:F,$J167)="","",INDEX('Прайс и заказ'!F:F,$J167)))</f>
      </c>
      <c r="F167" s="62" t="str">
        <f>IF($J167=0,"",IF(INDEX('Прайс и заказ'!I:I,$J167)="","",INDEX('Прайс и заказ'!I:I,$J167)))</f>
      </c>
      <c r="G167" s="63" t="str">
        <f>IF($J167=0,"",IF(INDEX('Прайс и заказ'!K:K,$J167)="","",INDEX('Прайс и заказ'!K:K,$J167)))</f>
      </c>
      <c r="H167" s="62" t="str">
        <f>IF($J167=0,"",IF(INDEX('Прайс и заказ'!L:L,$J167)="","",INDEX('Прайс и заказ'!L:L,$J167)))</f>
      </c>
      <c r="I167" s="13" t="str">
        <f>IF($J167=0,"",IF(INDEX('Прайс и заказ'!M:M,$J167)="","",INDEX('Прайс и заказ'!M:M,$J167)))</f>
      </c>
      <c r="J167" t="str">
        <f>IFERROR(MATCH(159,'Прайс и заказ'!$N$7:$N$435,0)+6,0)</f>
      </c>
    </row>
    <row r="168" spans="1:11" customHeight="1" ht="40">
      <c r="A168" s="13" t="str">
        <f>IF($J168=0,"",IFERROR(_xlfn.IMAGE(INDEX('Прайс и заказ'!$O:$O,$J168)),""))</f>
      </c>
      <c r="B168" s="61" t="str">
        <f>IF($J168=0,"",IF(INDEX('Прайс и заказ'!B:B,$J168)="","",INDEX('Прайс и заказ'!B:B,$J168)))</f>
      </c>
      <c r="C168" s="64" t="str">
        <f>IF($J168=0,"",IF(INDEX('Прайс и заказ'!C:C,$J168)="","",INDEX('Прайс и заказ'!C:C,$J168)))</f>
      </c>
      <c r="D168" s="64" t="str">
        <f>IF($J168=0,"",IF(INDEX('Прайс и заказ'!D:D,$J168)="","",INDEX('Прайс и заказ'!D:D,$J168)))</f>
      </c>
      <c r="E168" s="61" t="str">
        <f>IF($J168=0,"",IF(INDEX('Прайс и заказ'!F:F,$J168)="","",INDEX('Прайс и заказ'!F:F,$J168)))</f>
      </c>
      <c r="F168" s="62" t="str">
        <f>IF($J168=0,"",IF(INDEX('Прайс и заказ'!I:I,$J168)="","",INDEX('Прайс и заказ'!I:I,$J168)))</f>
      </c>
      <c r="G168" s="63" t="str">
        <f>IF($J168=0,"",IF(INDEX('Прайс и заказ'!K:K,$J168)="","",INDEX('Прайс и заказ'!K:K,$J168)))</f>
      </c>
      <c r="H168" s="62" t="str">
        <f>IF($J168=0,"",IF(INDEX('Прайс и заказ'!L:L,$J168)="","",INDEX('Прайс и заказ'!L:L,$J168)))</f>
      </c>
      <c r="I168" s="13" t="str">
        <f>IF($J168=0,"",IF(INDEX('Прайс и заказ'!M:M,$J168)="","",INDEX('Прайс и заказ'!M:M,$J168)))</f>
      </c>
      <c r="J168" t="str">
        <f>IFERROR(MATCH(160,'Прайс и заказ'!$N$7:$N$435,0)+6,0)</f>
      </c>
    </row>
    <row r="169" spans="1:11" customHeight="1" ht="40">
      <c r="A169" s="13" t="str">
        <f>IF($J169=0,"",IFERROR(_xlfn.IMAGE(INDEX('Прайс и заказ'!$O:$O,$J169)),""))</f>
      </c>
      <c r="B169" s="61" t="str">
        <f>IF($J169=0,"",IF(INDEX('Прайс и заказ'!B:B,$J169)="","",INDEX('Прайс и заказ'!B:B,$J169)))</f>
      </c>
      <c r="C169" s="64" t="str">
        <f>IF($J169=0,"",IF(INDEX('Прайс и заказ'!C:C,$J169)="","",INDEX('Прайс и заказ'!C:C,$J169)))</f>
      </c>
      <c r="D169" s="64" t="str">
        <f>IF($J169=0,"",IF(INDEX('Прайс и заказ'!D:D,$J169)="","",INDEX('Прайс и заказ'!D:D,$J169)))</f>
      </c>
      <c r="E169" s="61" t="str">
        <f>IF($J169=0,"",IF(INDEX('Прайс и заказ'!F:F,$J169)="","",INDEX('Прайс и заказ'!F:F,$J169)))</f>
      </c>
      <c r="F169" s="62" t="str">
        <f>IF($J169=0,"",IF(INDEX('Прайс и заказ'!I:I,$J169)="","",INDEX('Прайс и заказ'!I:I,$J169)))</f>
      </c>
      <c r="G169" s="63" t="str">
        <f>IF($J169=0,"",IF(INDEX('Прайс и заказ'!K:K,$J169)="","",INDEX('Прайс и заказ'!K:K,$J169)))</f>
      </c>
      <c r="H169" s="62" t="str">
        <f>IF($J169=0,"",IF(INDEX('Прайс и заказ'!L:L,$J169)="","",INDEX('Прайс и заказ'!L:L,$J169)))</f>
      </c>
      <c r="I169" s="13" t="str">
        <f>IF($J169=0,"",IF(INDEX('Прайс и заказ'!M:M,$J169)="","",INDEX('Прайс и заказ'!M:M,$J169)))</f>
      </c>
      <c r="J169" t="str">
        <f>IFERROR(MATCH(161,'Прайс и заказ'!$N$7:$N$435,0)+6,0)</f>
      </c>
    </row>
    <row r="170" spans="1:11" customHeight="1" ht="40">
      <c r="A170" s="13" t="str">
        <f>IF($J170=0,"",IFERROR(_xlfn.IMAGE(INDEX('Прайс и заказ'!$O:$O,$J170)),""))</f>
      </c>
      <c r="B170" s="61" t="str">
        <f>IF($J170=0,"",IF(INDEX('Прайс и заказ'!B:B,$J170)="","",INDEX('Прайс и заказ'!B:B,$J170)))</f>
      </c>
      <c r="C170" s="64" t="str">
        <f>IF($J170=0,"",IF(INDEX('Прайс и заказ'!C:C,$J170)="","",INDEX('Прайс и заказ'!C:C,$J170)))</f>
      </c>
      <c r="D170" s="64" t="str">
        <f>IF($J170=0,"",IF(INDEX('Прайс и заказ'!D:D,$J170)="","",INDEX('Прайс и заказ'!D:D,$J170)))</f>
      </c>
      <c r="E170" s="61" t="str">
        <f>IF($J170=0,"",IF(INDEX('Прайс и заказ'!F:F,$J170)="","",INDEX('Прайс и заказ'!F:F,$J170)))</f>
      </c>
      <c r="F170" s="62" t="str">
        <f>IF($J170=0,"",IF(INDEX('Прайс и заказ'!I:I,$J170)="","",INDEX('Прайс и заказ'!I:I,$J170)))</f>
      </c>
      <c r="G170" s="63" t="str">
        <f>IF($J170=0,"",IF(INDEX('Прайс и заказ'!K:K,$J170)="","",INDEX('Прайс и заказ'!K:K,$J170)))</f>
      </c>
      <c r="H170" s="62" t="str">
        <f>IF($J170=0,"",IF(INDEX('Прайс и заказ'!L:L,$J170)="","",INDEX('Прайс и заказ'!L:L,$J170)))</f>
      </c>
      <c r="I170" s="13" t="str">
        <f>IF($J170=0,"",IF(INDEX('Прайс и заказ'!M:M,$J170)="","",INDEX('Прайс и заказ'!M:M,$J170)))</f>
      </c>
      <c r="J170" t="str">
        <f>IFERROR(MATCH(162,'Прайс и заказ'!$N$7:$N$435,0)+6,0)</f>
      </c>
    </row>
    <row r="171" spans="1:11" customHeight="1" ht="40">
      <c r="A171" s="13" t="str">
        <f>IF($J171=0,"",IFERROR(_xlfn.IMAGE(INDEX('Прайс и заказ'!$O:$O,$J171)),""))</f>
      </c>
      <c r="B171" s="61" t="str">
        <f>IF($J171=0,"",IF(INDEX('Прайс и заказ'!B:B,$J171)="","",INDEX('Прайс и заказ'!B:B,$J171)))</f>
      </c>
      <c r="C171" s="64" t="str">
        <f>IF($J171=0,"",IF(INDEX('Прайс и заказ'!C:C,$J171)="","",INDEX('Прайс и заказ'!C:C,$J171)))</f>
      </c>
      <c r="D171" s="64" t="str">
        <f>IF($J171=0,"",IF(INDEX('Прайс и заказ'!D:D,$J171)="","",INDEX('Прайс и заказ'!D:D,$J171)))</f>
      </c>
      <c r="E171" s="61" t="str">
        <f>IF($J171=0,"",IF(INDEX('Прайс и заказ'!F:F,$J171)="","",INDEX('Прайс и заказ'!F:F,$J171)))</f>
      </c>
      <c r="F171" s="62" t="str">
        <f>IF($J171=0,"",IF(INDEX('Прайс и заказ'!I:I,$J171)="","",INDEX('Прайс и заказ'!I:I,$J171)))</f>
      </c>
      <c r="G171" s="63" t="str">
        <f>IF($J171=0,"",IF(INDEX('Прайс и заказ'!K:K,$J171)="","",INDEX('Прайс и заказ'!K:K,$J171)))</f>
      </c>
      <c r="H171" s="62" t="str">
        <f>IF($J171=0,"",IF(INDEX('Прайс и заказ'!L:L,$J171)="","",INDEX('Прайс и заказ'!L:L,$J171)))</f>
      </c>
      <c r="I171" s="13" t="str">
        <f>IF($J171=0,"",IF(INDEX('Прайс и заказ'!M:M,$J171)="","",INDEX('Прайс и заказ'!M:M,$J171)))</f>
      </c>
      <c r="J171" t="str">
        <f>IFERROR(MATCH(163,'Прайс и заказ'!$N$7:$N$435,0)+6,0)</f>
      </c>
    </row>
    <row r="172" spans="1:11" customHeight="1" ht="40">
      <c r="A172" s="13" t="str">
        <f>IF($J172=0,"",IFERROR(_xlfn.IMAGE(INDEX('Прайс и заказ'!$O:$O,$J172)),""))</f>
      </c>
      <c r="B172" s="61" t="str">
        <f>IF($J172=0,"",IF(INDEX('Прайс и заказ'!B:B,$J172)="","",INDEX('Прайс и заказ'!B:B,$J172)))</f>
      </c>
      <c r="C172" s="64" t="str">
        <f>IF($J172=0,"",IF(INDEX('Прайс и заказ'!C:C,$J172)="","",INDEX('Прайс и заказ'!C:C,$J172)))</f>
      </c>
      <c r="D172" s="64" t="str">
        <f>IF($J172=0,"",IF(INDEX('Прайс и заказ'!D:D,$J172)="","",INDEX('Прайс и заказ'!D:D,$J172)))</f>
      </c>
      <c r="E172" s="61" t="str">
        <f>IF($J172=0,"",IF(INDEX('Прайс и заказ'!F:F,$J172)="","",INDEX('Прайс и заказ'!F:F,$J172)))</f>
      </c>
      <c r="F172" s="62" t="str">
        <f>IF($J172=0,"",IF(INDEX('Прайс и заказ'!I:I,$J172)="","",INDEX('Прайс и заказ'!I:I,$J172)))</f>
      </c>
      <c r="G172" s="63" t="str">
        <f>IF($J172=0,"",IF(INDEX('Прайс и заказ'!K:K,$J172)="","",INDEX('Прайс и заказ'!K:K,$J172)))</f>
      </c>
      <c r="H172" s="62" t="str">
        <f>IF($J172=0,"",IF(INDEX('Прайс и заказ'!L:L,$J172)="","",INDEX('Прайс и заказ'!L:L,$J172)))</f>
      </c>
      <c r="I172" s="13" t="str">
        <f>IF($J172=0,"",IF(INDEX('Прайс и заказ'!M:M,$J172)="","",INDEX('Прайс и заказ'!M:M,$J172)))</f>
      </c>
      <c r="J172" t="str">
        <f>IFERROR(MATCH(164,'Прайс и заказ'!$N$7:$N$435,0)+6,0)</f>
      </c>
    </row>
    <row r="173" spans="1:11" customHeight="1" ht="40">
      <c r="A173" s="13" t="str">
        <f>IF($J173=0,"",IFERROR(_xlfn.IMAGE(INDEX('Прайс и заказ'!$O:$O,$J173)),""))</f>
      </c>
      <c r="B173" s="61" t="str">
        <f>IF($J173=0,"",IF(INDEX('Прайс и заказ'!B:B,$J173)="","",INDEX('Прайс и заказ'!B:B,$J173)))</f>
      </c>
      <c r="C173" s="64" t="str">
        <f>IF($J173=0,"",IF(INDEX('Прайс и заказ'!C:C,$J173)="","",INDEX('Прайс и заказ'!C:C,$J173)))</f>
      </c>
      <c r="D173" s="64" t="str">
        <f>IF($J173=0,"",IF(INDEX('Прайс и заказ'!D:D,$J173)="","",INDEX('Прайс и заказ'!D:D,$J173)))</f>
      </c>
      <c r="E173" s="61" t="str">
        <f>IF($J173=0,"",IF(INDEX('Прайс и заказ'!F:F,$J173)="","",INDEX('Прайс и заказ'!F:F,$J173)))</f>
      </c>
      <c r="F173" s="62" t="str">
        <f>IF($J173=0,"",IF(INDEX('Прайс и заказ'!I:I,$J173)="","",INDEX('Прайс и заказ'!I:I,$J173)))</f>
      </c>
      <c r="G173" s="63" t="str">
        <f>IF($J173=0,"",IF(INDEX('Прайс и заказ'!K:K,$J173)="","",INDEX('Прайс и заказ'!K:K,$J173)))</f>
      </c>
      <c r="H173" s="62" t="str">
        <f>IF($J173=0,"",IF(INDEX('Прайс и заказ'!L:L,$J173)="","",INDEX('Прайс и заказ'!L:L,$J173)))</f>
      </c>
      <c r="I173" s="13" t="str">
        <f>IF($J173=0,"",IF(INDEX('Прайс и заказ'!M:M,$J173)="","",INDEX('Прайс и заказ'!M:M,$J173)))</f>
      </c>
      <c r="J173" t="str">
        <f>IFERROR(MATCH(165,'Прайс и заказ'!$N$7:$N$435,0)+6,0)</f>
      </c>
    </row>
    <row r="174" spans="1:11" customHeight="1" ht="40">
      <c r="A174" s="13" t="str">
        <f>IF($J174=0,"",IFERROR(_xlfn.IMAGE(INDEX('Прайс и заказ'!$O:$O,$J174)),""))</f>
      </c>
      <c r="B174" s="61" t="str">
        <f>IF($J174=0,"",IF(INDEX('Прайс и заказ'!B:B,$J174)="","",INDEX('Прайс и заказ'!B:B,$J174)))</f>
      </c>
      <c r="C174" s="64" t="str">
        <f>IF($J174=0,"",IF(INDEX('Прайс и заказ'!C:C,$J174)="","",INDEX('Прайс и заказ'!C:C,$J174)))</f>
      </c>
      <c r="D174" s="64" t="str">
        <f>IF($J174=0,"",IF(INDEX('Прайс и заказ'!D:D,$J174)="","",INDEX('Прайс и заказ'!D:D,$J174)))</f>
      </c>
      <c r="E174" s="61" t="str">
        <f>IF($J174=0,"",IF(INDEX('Прайс и заказ'!F:F,$J174)="","",INDEX('Прайс и заказ'!F:F,$J174)))</f>
      </c>
      <c r="F174" s="62" t="str">
        <f>IF($J174=0,"",IF(INDEX('Прайс и заказ'!I:I,$J174)="","",INDEX('Прайс и заказ'!I:I,$J174)))</f>
      </c>
      <c r="G174" s="63" t="str">
        <f>IF($J174=0,"",IF(INDEX('Прайс и заказ'!K:K,$J174)="","",INDEX('Прайс и заказ'!K:K,$J174)))</f>
      </c>
      <c r="H174" s="62" t="str">
        <f>IF($J174=0,"",IF(INDEX('Прайс и заказ'!L:L,$J174)="","",INDEX('Прайс и заказ'!L:L,$J174)))</f>
      </c>
      <c r="I174" s="13" t="str">
        <f>IF($J174=0,"",IF(INDEX('Прайс и заказ'!M:M,$J174)="","",INDEX('Прайс и заказ'!M:M,$J174)))</f>
      </c>
      <c r="J174" t="str">
        <f>IFERROR(MATCH(166,'Прайс и заказ'!$N$7:$N$435,0)+6,0)</f>
      </c>
    </row>
    <row r="175" spans="1:11" customHeight="1" ht="40">
      <c r="A175" s="13" t="str">
        <f>IF($J175=0,"",IFERROR(_xlfn.IMAGE(INDEX('Прайс и заказ'!$O:$O,$J175)),""))</f>
      </c>
      <c r="B175" s="61" t="str">
        <f>IF($J175=0,"",IF(INDEX('Прайс и заказ'!B:B,$J175)="","",INDEX('Прайс и заказ'!B:B,$J175)))</f>
      </c>
      <c r="C175" s="64" t="str">
        <f>IF($J175=0,"",IF(INDEX('Прайс и заказ'!C:C,$J175)="","",INDEX('Прайс и заказ'!C:C,$J175)))</f>
      </c>
      <c r="D175" s="64" t="str">
        <f>IF($J175=0,"",IF(INDEX('Прайс и заказ'!D:D,$J175)="","",INDEX('Прайс и заказ'!D:D,$J175)))</f>
      </c>
      <c r="E175" s="61" t="str">
        <f>IF($J175=0,"",IF(INDEX('Прайс и заказ'!F:F,$J175)="","",INDEX('Прайс и заказ'!F:F,$J175)))</f>
      </c>
      <c r="F175" s="62" t="str">
        <f>IF($J175=0,"",IF(INDEX('Прайс и заказ'!I:I,$J175)="","",INDEX('Прайс и заказ'!I:I,$J175)))</f>
      </c>
      <c r="G175" s="63" t="str">
        <f>IF($J175=0,"",IF(INDEX('Прайс и заказ'!K:K,$J175)="","",INDEX('Прайс и заказ'!K:K,$J175)))</f>
      </c>
      <c r="H175" s="62" t="str">
        <f>IF($J175=0,"",IF(INDEX('Прайс и заказ'!L:L,$J175)="","",INDEX('Прайс и заказ'!L:L,$J175)))</f>
      </c>
      <c r="I175" s="13" t="str">
        <f>IF($J175=0,"",IF(INDEX('Прайс и заказ'!M:M,$J175)="","",INDEX('Прайс и заказ'!M:M,$J175)))</f>
      </c>
      <c r="J175" t="str">
        <f>IFERROR(MATCH(167,'Прайс и заказ'!$N$7:$N$435,0)+6,0)</f>
      </c>
    </row>
    <row r="176" spans="1:11" customHeight="1" ht="40">
      <c r="A176" s="13" t="str">
        <f>IF($J176=0,"",IFERROR(_xlfn.IMAGE(INDEX('Прайс и заказ'!$O:$O,$J176)),""))</f>
      </c>
      <c r="B176" s="61" t="str">
        <f>IF($J176=0,"",IF(INDEX('Прайс и заказ'!B:B,$J176)="","",INDEX('Прайс и заказ'!B:B,$J176)))</f>
      </c>
      <c r="C176" s="64" t="str">
        <f>IF($J176=0,"",IF(INDEX('Прайс и заказ'!C:C,$J176)="","",INDEX('Прайс и заказ'!C:C,$J176)))</f>
      </c>
      <c r="D176" s="64" t="str">
        <f>IF($J176=0,"",IF(INDEX('Прайс и заказ'!D:D,$J176)="","",INDEX('Прайс и заказ'!D:D,$J176)))</f>
      </c>
      <c r="E176" s="61" t="str">
        <f>IF($J176=0,"",IF(INDEX('Прайс и заказ'!F:F,$J176)="","",INDEX('Прайс и заказ'!F:F,$J176)))</f>
      </c>
      <c r="F176" s="62" t="str">
        <f>IF($J176=0,"",IF(INDEX('Прайс и заказ'!I:I,$J176)="","",INDEX('Прайс и заказ'!I:I,$J176)))</f>
      </c>
      <c r="G176" s="63" t="str">
        <f>IF($J176=0,"",IF(INDEX('Прайс и заказ'!K:K,$J176)="","",INDEX('Прайс и заказ'!K:K,$J176)))</f>
      </c>
      <c r="H176" s="62" t="str">
        <f>IF($J176=0,"",IF(INDEX('Прайс и заказ'!L:L,$J176)="","",INDEX('Прайс и заказ'!L:L,$J176)))</f>
      </c>
      <c r="I176" s="13" t="str">
        <f>IF($J176=0,"",IF(INDEX('Прайс и заказ'!M:M,$J176)="","",INDEX('Прайс и заказ'!M:M,$J176)))</f>
      </c>
      <c r="J176" t="str">
        <f>IFERROR(MATCH(168,'Прайс и заказ'!$N$7:$N$435,0)+6,0)</f>
      </c>
    </row>
    <row r="177" spans="1:11" customHeight="1" ht="40">
      <c r="A177" s="13" t="str">
        <f>IF($J177=0,"",IFERROR(_xlfn.IMAGE(INDEX('Прайс и заказ'!$O:$O,$J177)),""))</f>
      </c>
      <c r="B177" s="61" t="str">
        <f>IF($J177=0,"",IF(INDEX('Прайс и заказ'!B:B,$J177)="","",INDEX('Прайс и заказ'!B:B,$J177)))</f>
      </c>
      <c r="C177" s="64" t="str">
        <f>IF($J177=0,"",IF(INDEX('Прайс и заказ'!C:C,$J177)="","",INDEX('Прайс и заказ'!C:C,$J177)))</f>
      </c>
      <c r="D177" s="64" t="str">
        <f>IF($J177=0,"",IF(INDEX('Прайс и заказ'!D:D,$J177)="","",INDEX('Прайс и заказ'!D:D,$J177)))</f>
      </c>
      <c r="E177" s="61" t="str">
        <f>IF($J177=0,"",IF(INDEX('Прайс и заказ'!F:F,$J177)="","",INDEX('Прайс и заказ'!F:F,$J177)))</f>
      </c>
      <c r="F177" s="62" t="str">
        <f>IF($J177=0,"",IF(INDEX('Прайс и заказ'!I:I,$J177)="","",INDEX('Прайс и заказ'!I:I,$J177)))</f>
      </c>
      <c r="G177" s="63" t="str">
        <f>IF($J177=0,"",IF(INDEX('Прайс и заказ'!K:K,$J177)="","",INDEX('Прайс и заказ'!K:K,$J177)))</f>
      </c>
      <c r="H177" s="62" t="str">
        <f>IF($J177=0,"",IF(INDEX('Прайс и заказ'!L:L,$J177)="","",INDEX('Прайс и заказ'!L:L,$J177)))</f>
      </c>
      <c r="I177" s="13" t="str">
        <f>IF($J177=0,"",IF(INDEX('Прайс и заказ'!M:M,$J177)="","",INDEX('Прайс и заказ'!M:M,$J177)))</f>
      </c>
      <c r="J177" t="str">
        <f>IFERROR(MATCH(169,'Прайс и заказ'!$N$7:$N$435,0)+6,0)</f>
      </c>
    </row>
    <row r="178" spans="1:11" customHeight="1" ht="40">
      <c r="A178" s="13" t="str">
        <f>IF($J178=0,"",IFERROR(_xlfn.IMAGE(INDEX('Прайс и заказ'!$O:$O,$J178)),""))</f>
      </c>
      <c r="B178" s="61" t="str">
        <f>IF($J178=0,"",IF(INDEX('Прайс и заказ'!B:B,$J178)="","",INDEX('Прайс и заказ'!B:B,$J178)))</f>
      </c>
      <c r="C178" s="64" t="str">
        <f>IF($J178=0,"",IF(INDEX('Прайс и заказ'!C:C,$J178)="","",INDEX('Прайс и заказ'!C:C,$J178)))</f>
      </c>
      <c r="D178" s="64" t="str">
        <f>IF($J178=0,"",IF(INDEX('Прайс и заказ'!D:D,$J178)="","",INDEX('Прайс и заказ'!D:D,$J178)))</f>
      </c>
      <c r="E178" s="61" t="str">
        <f>IF($J178=0,"",IF(INDEX('Прайс и заказ'!F:F,$J178)="","",INDEX('Прайс и заказ'!F:F,$J178)))</f>
      </c>
      <c r="F178" s="62" t="str">
        <f>IF($J178=0,"",IF(INDEX('Прайс и заказ'!I:I,$J178)="","",INDEX('Прайс и заказ'!I:I,$J178)))</f>
      </c>
      <c r="G178" s="63" t="str">
        <f>IF($J178=0,"",IF(INDEX('Прайс и заказ'!K:K,$J178)="","",INDEX('Прайс и заказ'!K:K,$J178)))</f>
      </c>
      <c r="H178" s="62" t="str">
        <f>IF($J178=0,"",IF(INDEX('Прайс и заказ'!L:L,$J178)="","",INDEX('Прайс и заказ'!L:L,$J178)))</f>
      </c>
      <c r="I178" s="13" t="str">
        <f>IF($J178=0,"",IF(INDEX('Прайс и заказ'!M:M,$J178)="","",INDEX('Прайс и заказ'!M:M,$J178)))</f>
      </c>
      <c r="J178" t="str">
        <f>IFERROR(MATCH(170,'Прайс и заказ'!$N$7:$N$435,0)+6,0)</f>
      </c>
    </row>
    <row r="179" spans="1:11" customHeight="1" ht="40">
      <c r="A179" s="13" t="str">
        <f>IF($J179=0,"",IFERROR(_xlfn.IMAGE(INDEX('Прайс и заказ'!$O:$O,$J179)),""))</f>
      </c>
      <c r="B179" s="61" t="str">
        <f>IF($J179=0,"",IF(INDEX('Прайс и заказ'!B:B,$J179)="","",INDEX('Прайс и заказ'!B:B,$J179)))</f>
      </c>
      <c r="C179" s="64" t="str">
        <f>IF($J179=0,"",IF(INDEX('Прайс и заказ'!C:C,$J179)="","",INDEX('Прайс и заказ'!C:C,$J179)))</f>
      </c>
      <c r="D179" s="64" t="str">
        <f>IF($J179=0,"",IF(INDEX('Прайс и заказ'!D:D,$J179)="","",INDEX('Прайс и заказ'!D:D,$J179)))</f>
      </c>
      <c r="E179" s="61" t="str">
        <f>IF($J179=0,"",IF(INDEX('Прайс и заказ'!F:F,$J179)="","",INDEX('Прайс и заказ'!F:F,$J179)))</f>
      </c>
      <c r="F179" s="62" t="str">
        <f>IF($J179=0,"",IF(INDEX('Прайс и заказ'!I:I,$J179)="","",INDEX('Прайс и заказ'!I:I,$J179)))</f>
      </c>
      <c r="G179" s="63" t="str">
        <f>IF($J179=0,"",IF(INDEX('Прайс и заказ'!K:K,$J179)="","",INDEX('Прайс и заказ'!K:K,$J179)))</f>
      </c>
      <c r="H179" s="62" t="str">
        <f>IF($J179=0,"",IF(INDEX('Прайс и заказ'!L:L,$J179)="","",INDEX('Прайс и заказ'!L:L,$J179)))</f>
      </c>
      <c r="I179" s="13" t="str">
        <f>IF($J179=0,"",IF(INDEX('Прайс и заказ'!M:M,$J179)="","",INDEX('Прайс и заказ'!M:M,$J179)))</f>
      </c>
      <c r="J179" t="str">
        <f>IFERROR(MATCH(171,'Прайс и заказ'!$N$7:$N$435,0)+6,0)</f>
      </c>
    </row>
    <row r="180" spans="1:11" customHeight="1" ht="40">
      <c r="A180" s="13" t="str">
        <f>IF($J180=0,"",IFERROR(_xlfn.IMAGE(INDEX('Прайс и заказ'!$O:$O,$J180)),""))</f>
      </c>
      <c r="B180" s="61" t="str">
        <f>IF($J180=0,"",IF(INDEX('Прайс и заказ'!B:B,$J180)="","",INDEX('Прайс и заказ'!B:B,$J180)))</f>
      </c>
      <c r="C180" s="64" t="str">
        <f>IF($J180=0,"",IF(INDEX('Прайс и заказ'!C:C,$J180)="","",INDEX('Прайс и заказ'!C:C,$J180)))</f>
      </c>
      <c r="D180" s="64" t="str">
        <f>IF($J180=0,"",IF(INDEX('Прайс и заказ'!D:D,$J180)="","",INDEX('Прайс и заказ'!D:D,$J180)))</f>
      </c>
      <c r="E180" s="61" t="str">
        <f>IF($J180=0,"",IF(INDEX('Прайс и заказ'!F:F,$J180)="","",INDEX('Прайс и заказ'!F:F,$J180)))</f>
      </c>
      <c r="F180" s="62" t="str">
        <f>IF($J180=0,"",IF(INDEX('Прайс и заказ'!I:I,$J180)="","",INDEX('Прайс и заказ'!I:I,$J180)))</f>
      </c>
      <c r="G180" s="63" t="str">
        <f>IF($J180=0,"",IF(INDEX('Прайс и заказ'!K:K,$J180)="","",INDEX('Прайс и заказ'!K:K,$J180)))</f>
      </c>
      <c r="H180" s="62" t="str">
        <f>IF($J180=0,"",IF(INDEX('Прайс и заказ'!L:L,$J180)="","",INDEX('Прайс и заказ'!L:L,$J180)))</f>
      </c>
      <c r="I180" s="13" t="str">
        <f>IF($J180=0,"",IF(INDEX('Прайс и заказ'!M:M,$J180)="","",INDEX('Прайс и заказ'!M:M,$J180)))</f>
      </c>
      <c r="J180" t="str">
        <f>IFERROR(MATCH(172,'Прайс и заказ'!$N$7:$N$435,0)+6,0)</f>
      </c>
    </row>
    <row r="181" spans="1:11" customHeight="1" ht="40">
      <c r="A181" s="13" t="str">
        <f>IF($J181=0,"",IFERROR(_xlfn.IMAGE(INDEX('Прайс и заказ'!$O:$O,$J181)),""))</f>
      </c>
      <c r="B181" s="61" t="str">
        <f>IF($J181=0,"",IF(INDEX('Прайс и заказ'!B:B,$J181)="","",INDEX('Прайс и заказ'!B:B,$J181)))</f>
      </c>
      <c r="C181" s="64" t="str">
        <f>IF($J181=0,"",IF(INDEX('Прайс и заказ'!C:C,$J181)="","",INDEX('Прайс и заказ'!C:C,$J181)))</f>
      </c>
      <c r="D181" s="64" t="str">
        <f>IF($J181=0,"",IF(INDEX('Прайс и заказ'!D:D,$J181)="","",INDEX('Прайс и заказ'!D:D,$J181)))</f>
      </c>
      <c r="E181" s="61" t="str">
        <f>IF($J181=0,"",IF(INDEX('Прайс и заказ'!F:F,$J181)="","",INDEX('Прайс и заказ'!F:F,$J181)))</f>
      </c>
      <c r="F181" s="62" t="str">
        <f>IF($J181=0,"",IF(INDEX('Прайс и заказ'!I:I,$J181)="","",INDEX('Прайс и заказ'!I:I,$J181)))</f>
      </c>
      <c r="G181" s="63" t="str">
        <f>IF($J181=0,"",IF(INDEX('Прайс и заказ'!K:K,$J181)="","",INDEX('Прайс и заказ'!K:K,$J181)))</f>
      </c>
      <c r="H181" s="62" t="str">
        <f>IF($J181=0,"",IF(INDEX('Прайс и заказ'!L:L,$J181)="","",INDEX('Прайс и заказ'!L:L,$J181)))</f>
      </c>
      <c r="I181" s="13" t="str">
        <f>IF($J181=0,"",IF(INDEX('Прайс и заказ'!M:M,$J181)="","",INDEX('Прайс и заказ'!M:M,$J181)))</f>
      </c>
      <c r="J181" t="str">
        <f>IFERROR(MATCH(173,'Прайс и заказ'!$N$7:$N$435,0)+6,0)</f>
      </c>
    </row>
    <row r="182" spans="1:11" customHeight="1" ht="40">
      <c r="A182" s="13" t="str">
        <f>IF($J182=0,"",IFERROR(_xlfn.IMAGE(INDEX('Прайс и заказ'!$O:$O,$J182)),""))</f>
      </c>
      <c r="B182" s="61" t="str">
        <f>IF($J182=0,"",IF(INDEX('Прайс и заказ'!B:B,$J182)="","",INDEX('Прайс и заказ'!B:B,$J182)))</f>
      </c>
      <c r="C182" s="64" t="str">
        <f>IF($J182=0,"",IF(INDEX('Прайс и заказ'!C:C,$J182)="","",INDEX('Прайс и заказ'!C:C,$J182)))</f>
      </c>
      <c r="D182" s="64" t="str">
        <f>IF($J182=0,"",IF(INDEX('Прайс и заказ'!D:D,$J182)="","",INDEX('Прайс и заказ'!D:D,$J182)))</f>
      </c>
      <c r="E182" s="61" t="str">
        <f>IF($J182=0,"",IF(INDEX('Прайс и заказ'!F:F,$J182)="","",INDEX('Прайс и заказ'!F:F,$J182)))</f>
      </c>
      <c r="F182" s="62" t="str">
        <f>IF($J182=0,"",IF(INDEX('Прайс и заказ'!I:I,$J182)="","",INDEX('Прайс и заказ'!I:I,$J182)))</f>
      </c>
      <c r="G182" s="63" t="str">
        <f>IF($J182=0,"",IF(INDEX('Прайс и заказ'!K:K,$J182)="","",INDEX('Прайс и заказ'!K:K,$J182)))</f>
      </c>
      <c r="H182" s="62" t="str">
        <f>IF($J182=0,"",IF(INDEX('Прайс и заказ'!L:L,$J182)="","",INDEX('Прайс и заказ'!L:L,$J182)))</f>
      </c>
      <c r="I182" s="13" t="str">
        <f>IF($J182=0,"",IF(INDEX('Прайс и заказ'!M:M,$J182)="","",INDEX('Прайс и заказ'!M:M,$J182)))</f>
      </c>
      <c r="J182" t="str">
        <f>IFERROR(MATCH(174,'Прайс и заказ'!$N$7:$N$435,0)+6,0)</f>
      </c>
    </row>
    <row r="183" spans="1:11" customHeight="1" ht="40">
      <c r="A183" s="13" t="str">
        <f>IF($J183=0,"",IFERROR(_xlfn.IMAGE(INDEX('Прайс и заказ'!$O:$O,$J183)),""))</f>
      </c>
      <c r="B183" s="61" t="str">
        <f>IF($J183=0,"",IF(INDEX('Прайс и заказ'!B:B,$J183)="","",INDEX('Прайс и заказ'!B:B,$J183)))</f>
      </c>
      <c r="C183" s="64" t="str">
        <f>IF($J183=0,"",IF(INDEX('Прайс и заказ'!C:C,$J183)="","",INDEX('Прайс и заказ'!C:C,$J183)))</f>
      </c>
      <c r="D183" s="64" t="str">
        <f>IF($J183=0,"",IF(INDEX('Прайс и заказ'!D:D,$J183)="","",INDEX('Прайс и заказ'!D:D,$J183)))</f>
      </c>
      <c r="E183" s="61" t="str">
        <f>IF($J183=0,"",IF(INDEX('Прайс и заказ'!F:F,$J183)="","",INDEX('Прайс и заказ'!F:F,$J183)))</f>
      </c>
      <c r="F183" s="62" t="str">
        <f>IF($J183=0,"",IF(INDEX('Прайс и заказ'!I:I,$J183)="","",INDEX('Прайс и заказ'!I:I,$J183)))</f>
      </c>
      <c r="G183" s="63" t="str">
        <f>IF($J183=0,"",IF(INDEX('Прайс и заказ'!K:K,$J183)="","",INDEX('Прайс и заказ'!K:K,$J183)))</f>
      </c>
      <c r="H183" s="62" t="str">
        <f>IF($J183=0,"",IF(INDEX('Прайс и заказ'!L:L,$J183)="","",INDEX('Прайс и заказ'!L:L,$J183)))</f>
      </c>
      <c r="I183" s="13" t="str">
        <f>IF($J183=0,"",IF(INDEX('Прайс и заказ'!M:M,$J183)="","",INDEX('Прайс и заказ'!M:M,$J183)))</f>
      </c>
      <c r="J183" t="str">
        <f>IFERROR(MATCH(175,'Прайс и заказ'!$N$7:$N$435,0)+6,0)</f>
      </c>
    </row>
    <row r="184" spans="1:11" customHeight="1" ht="40">
      <c r="A184" s="13" t="str">
        <f>IF($J184=0,"",IFERROR(_xlfn.IMAGE(INDEX('Прайс и заказ'!$O:$O,$J184)),""))</f>
      </c>
      <c r="B184" s="61" t="str">
        <f>IF($J184=0,"",IF(INDEX('Прайс и заказ'!B:B,$J184)="","",INDEX('Прайс и заказ'!B:B,$J184)))</f>
      </c>
      <c r="C184" s="64" t="str">
        <f>IF($J184=0,"",IF(INDEX('Прайс и заказ'!C:C,$J184)="","",INDEX('Прайс и заказ'!C:C,$J184)))</f>
      </c>
      <c r="D184" s="64" t="str">
        <f>IF($J184=0,"",IF(INDEX('Прайс и заказ'!D:D,$J184)="","",INDEX('Прайс и заказ'!D:D,$J184)))</f>
      </c>
      <c r="E184" s="61" t="str">
        <f>IF($J184=0,"",IF(INDEX('Прайс и заказ'!F:F,$J184)="","",INDEX('Прайс и заказ'!F:F,$J184)))</f>
      </c>
      <c r="F184" s="62" t="str">
        <f>IF($J184=0,"",IF(INDEX('Прайс и заказ'!I:I,$J184)="","",INDEX('Прайс и заказ'!I:I,$J184)))</f>
      </c>
      <c r="G184" s="63" t="str">
        <f>IF($J184=0,"",IF(INDEX('Прайс и заказ'!K:K,$J184)="","",INDEX('Прайс и заказ'!K:K,$J184)))</f>
      </c>
      <c r="H184" s="62" t="str">
        <f>IF($J184=0,"",IF(INDEX('Прайс и заказ'!L:L,$J184)="","",INDEX('Прайс и заказ'!L:L,$J184)))</f>
      </c>
      <c r="I184" s="13" t="str">
        <f>IF($J184=0,"",IF(INDEX('Прайс и заказ'!M:M,$J184)="","",INDEX('Прайс и заказ'!M:M,$J184)))</f>
      </c>
      <c r="J184" t="str">
        <f>IFERROR(MATCH(176,'Прайс и заказ'!$N$7:$N$435,0)+6,0)</f>
      </c>
    </row>
    <row r="185" spans="1:11" customHeight="1" ht="40">
      <c r="A185" s="13" t="str">
        <f>IF($J185=0,"",IFERROR(_xlfn.IMAGE(INDEX('Прайс и заказ'!$O:$O,$J185)),""))</f>
      </c>
      <c r="B185" s="61" t="str">
        <f>IF($J185=0,"",IF(INDEX('Прайс и заказ'!B:B,$J185)="","",INDEX('Прайс и заказ'!B:B,$J185)))</f>
      </c>
      <c r="C185" s="64" t="str">
        <f>IF($J185=0,"",IF(INDEX('Прайс и заказ'!C:C,$J185)="","",INDEX('Прайс и заказ'!C:C,$J185)))</f>
      </c>
      <c r="D185" s="64" t="str">
        <f>IF($J185=0,"",IF(INDEX('Прайс и заказ'!D:D,$J185)="","",INDEX('Прайс и заказ'!D:D,$J185)))</f>
      </c>
      <c r="E185" s="61" t="str">
        <f>IF($J185=0,"",IF(INDEX('Прайс и заказ'!F:F,$J185)="","",INDEX('Прайс и заказ'!F:F,$J185)))</f>
      </c>
      <c r="F185" s="62" t="str">
        <f>IF($J185=0,"",IF(INDEX('Прайс и заказ'!I:I,$J185)="","",INDEX('Прайс и заказ'!I:I,$J185)))</f>
      </c>
      <c r="G185" s="63" t="str">
        <f>IF($J185=0,"",IF(INDEX('Прайс и заказ'!K:K,$J185)="","",INDEX('Прайс и заказ'!K:K,$J185)))</f>
      </c>
      <c r="H185" s="62" t="str">
        <f>IF($J185=0,"",IF(INDEX('Прайс и заказ'!L:L,$J185)="","",INDEX('Прайс и заказ'!L:L,$J185)))</f>
      </c>
      <c r="I185" s="13" t="str">
        <f>IF($J185=0,"",IF(INDEX('Прайс и заказ'!M:M,$J185)="","",INDEX('Прайс и заказ'!M:M,$J185)))</f>
      </c>
      <c r="J185" t="str">
        <f>IFERROR(MATCH(177,'Прайс и заказ'!$N$7:$N$435,0)+6,0)</f>
      </c>
    </row>
    <row r="186" spans="1:11" customHeight="1" ht="40">
      <c r="A186" s="13" t="str">
        <f>IF($J186=0,"",IFERROR(_xlfn.IMAGE(INDEX('Прайс и заказ'!$O:$O,$J186)),""))</f>
      </c>
      <c r="B186" s="61" t="str">
        <f>IF($J186=0,"",IF(INDEX('Прайс и заказ'!B:B,$J186)="","",INDEX('Прайс и заказ'!B:B,$J186)))</f>
      </c>
      <c r="C186" s="64" t="str">
        <f>IF($J186=0,"",IF(INDEX('Прайс и заказ'!C:C,$J186)="","",INDEX('Прайс и заказ'!C:C,$J186)))</f>
      </c>
      <c r="D186" s="64" t="str">
        <f>IF($J186=0,"",IF(INDEX('Прайс и заказ'!D:D,$J186)="","",INDEX('Прайс и заказ'!D:D,$J186)))</f>
      </c>
      <c r="E186" s="61" t="str">
        <f>IF($J186=0,"",IF(INDEX('Прайс и заказ'!F:F,$J186)="","",INDEX('Прайс и заказ'!F:F,$J186)))</f>
      </c>
      <c r="F186" s="62" t="str">
        <f>IF($J186=0,"",IF(INDEX('Прайс и заказ'!I:I,$J186)="","",INDEX('Прайс и заказ'!I:I,$J186)))</f>
      </c>
      <c r="G186" s="63" t="str">
        <f>IF($J186=0,"",IF(INDEX('Прайс и заказ'!K:K,$J186)="","",INDEX('Прайс и заказ'!K:K,$J186)))</f>
      </c>
      <c r="H186" s="62" t="str">
        <f>IF($J186=0,"",IF(INDEX('Прайс и заказ'!L:L,$J186)="","",INDEX('Прайс и заказ'!L:L,$J186)))</f>
      </c>
      <c r="I186" s="13" t="str">
        <f>IF($J186=0,"",IF(INDEX('Прайс и заказ'!M:M,$J186)="","",INDEX('Прайс и заказ'!M:M,$J186)))</f>
      </c>
      <c r="J186" t="str">
        <f>IFERROR(MATCH(178,'Прайс и заказ'!$N$7:$N$435,0)+6,0)</f>
      </c>
    </row>
    <row r="187" spans="1:11" customHeight="1" ht="40">
      <c r="A187" s="13" t="str">
        <f>IF($J187=0,"",IFERROR(_xlfn.IMAGE(INDEX('Прайс и заказ'!$O:$O,$J187)),""))</f>
      </c>
      <c r="B187" s="61" t="str">
        <f>IF($J187=0,"",IF(INDEX('Прайс и заказ'!B:B,$J187)="","",INDEX('Прайс и заказ'!B:B,$J187)))</f>
      </c>
      <c r="C187" s="64" t="str">
        <f>IF($J187=0,"",IF(INDEX('Прайс и заказ'!C:C,$J187)="","",INDEX('Прайс и заказ'!C:C,$J187)))</f>
      </c>
      <c r="D187" s="64" t="str">
        <f>IF($J187=0,"",IF(INDEX('Прайс и заказ'!D:D,$J187)="","",INDEX('Прайс и заказ'!D:D,$J187)))</f>
      </c>
      <c r="E187" s="61" t="str">
        <f>IF($J187=0,"",IF(INDEX('Прайс и заказ'!F:F,$J187)="","",INDEX('Прайс и заказ'!F:F,$J187)))</f>
      </c>
      <c r="F187" s="62" t="str">
        <f>IF($J187=0,"",IF(INDEX('Прайс и заказ'!I:I,$J187)="","",INDEX('Прайс и заказ'!I:I,$J187)))</f>
      </c>
      <c r="G187" s="63" t="str">
        <f>IF($J187=0,"",IF(INDEX('Прайс и заказ'!K:K,$J187)="","",INDEX('Прайс и заказ'!K:K,$J187)))</f>
      </c>
      <c r="H187" s="62" t="str">
        <f>IF($J187=0,"",IF(INDEX('Прайс и заказ'!L:L,$J187)="","",INDEX('Прайс и заказ'!L:L,$J187)))</f>
      </c>
      <c r="I187" s="13" t="str">
        <f>IF($J187=0,"",IF(INDEX('Прайс и заказ'!M:M,$J187)="","",INDEX('Прайс и заказ'!M:M,$J187)))</f>
      </c>
      <c r="J187" t="str">
        <f>IFERROR(MATCH(179,'Прайс и заказ'!$N$7:$N$435,0)+6,0)</f>
      </c>
    </row>
    <row r="188" spans="1:11" customHeight="1" ht="40">
      <c r="A188" s="13" t="str">
        <f>IF($J188=0,"",IFERROR(_xlfn.IMAGE(INDEX('Прайс и заказ'!$O:$O,$J188)),""))</f>
      </c>
      <c r="B188" s="61" t="str">
        <f>IF($J188=0,"",IF(INDEX('Прайс и заказ'!B:B,$J188)="","",INDEX('Прайс и заказ'!B:B,$J188)))</f>
      </c>
      <c r="C188" s="64" t="str">
        <f>IF($J188=0,"",IF(INDEX('Прайс и заказ'!C:C,$J188)="","",INDEX('Прайс и заказ'!C:C,$J188)))</f>
      </c>
      <c r="D188" s="64" t="str">
        <f>IF($J188=0,"",IF(INDEX('Прайс и заказ'!D:D,$J188)="","",INDEX('Прайс и заказ'!D:D,$J188)))</f>
      </c>
      <c r="E188" s="61" t="str">
        <f>IF($J188=0,"",IF(INDEX('Прайс и заказ'!F:F,$J188)="","",INDEX('Прайс и заказ'!F:F,$J188)))</f>
      </c>
      <c r="F188" s="62" t="str">
        <f>IF($J188=0,"",IF(INDEX('Прайс и заказ'!I:I,$J188)="","",INDEX('Прайс и заказ'!I:I,$J188)))</f>
      </c>
      <c r="G188" s="63" t="str">
        <f>IF($J188=0,"",IF(INDEX('Прайс и заказ'!K:K,$J188)="","",INDEX('Прайс и заказ'!K:K,$J188)))</f>
      </c>
      <c r="H188" s="62" t="str">
        <f>IF($J188=0,"",IF(INDEX('Прайс и заказ'!L:L,$J188)="","",INDEX('Прайс и заказ'!L:L,$J188)))</f>
      </c>
      <c r="I188" s="13" t="str">
        <f>IF($J188=0,"",IF(INDEX('Прайс и заказ'!M:M,$J188)="","",INDEX('Прайс и заказ'!M:M,$J188)))</f>
      </c>
      <c r="J188" t="str">
        <f>IFERROR(MATCH(180,'Прайс и заказ'!$N$7:$N$435,0)+6,0)</f>
      </c>
    </row>
    <row r="189" spans="1:11" customHeight="1" ht="40">
      <c r="A189" s="13" t="str">
        <f>IF($J189=0,"",IFERROR(_xlfn.IMAGE(INDEX('Прайс и заказ'!$O:$O,$J189)),""))</f>
      </c>
      <c r="B189" s="61" t="str">
        <f>IF($J189=0,"",IF(INDEX('Прайс и заказ'!B:B,$J189)="","",INDEX('Прайс и заказ'!B:B,$J189)))</f>
      </c>
      <c r="C189" s="64" t="str">
        <f>IF($J189=0,"",IF(INDEX('Прайс и заказ'!C:C,$J189)="","",INDEX('Прайс и заказ'!C:C,$J189)))</f>
      </c>
      <c r="D189" s="64" t="str">
        <f>IF($J189=0,"",IF(INDEX('Прайс и заказ'!D:D,$J189)="","",INDEX('Прайс и заказ'!D:D,$J189)))</f>
      </c>
      <c r="E189" s="61" t="str">
        <f>IF($J189=0,"",IF(INDEX('Прайс и заказ'!F:F,$J189)="","",INDEX('Прайс и заказ'!F:F,$J189)))</f>
      </c>
      <c r="F189" s="62" t="str">
        <f>IF($J189=0,"",IF(INDEX('Прайс и заказ'!I:I,$J189)="","",INDEX('Прайс и заказ'!I:I,$J189)))</f>
      </c>
      <c r="G189" s="63" t="str">
        <f>IF($J189=0,"",IF(INDEX('Прайс и заказ'!K:K,$J189)="","",INDEX('Прайс и заказ'!K:K,$J189)))</f>
      </c>
      <c r="H189" s="62" t="str">
        <f>IF($J189=0,"",IF(INDEX('Прайс и заказ'!L:L,$J189)="","",INDEX('Прайс и заказ'!L:L,$J189)))</f>
      </c>
      <c r="I189" s="13" t="str">
        <f>IF($J189=0,"",IF(INDEX('Прайс и заказ'!M:M,$J189)="","",INDEX('Прайс и заказ'!M:M,$J189)))</f>
      </c>
      <c r="J189" t="str">
        <f>IFERROR(MATCH(181,'Прайс и заказ'!$N$7:$N$435,0)+6,0)</f>
      </c>
    </row>
    <row r="190" spans="1:11" customHeight="1" ht="40">
      <c r="A190" s="13" t="str">
        <f>IF($J190=0,"",IFERROR(_xlfn.IMAGE(INDEX('Прайс и заказ'!$O:$O,$J190)),""))</f>
      </c>
      <c r="B190" s="61" t="str">
        <f>IF($J190=0,"",IF(INDEX('Прайс и заказ'!B:B,$J190)="","",INDEX('Прайс и заказ'!B:B,$J190)))</f>
      </c>
      <c r="C190" s="64" t="str">
        <f>IF($J190=0,"",IF(INDEX('Прайс и заказ'!C:C,$J190)="","",INDEX('Прайс и заказ'!C:C,$J190)))</f>
      </c>
      <c r="D190" s="64" t="str">
        <f>IF($J190=0,"",IF(INDEX('Прайс и заказ'!D:D,$J190)="","",INDEX('Прайс и заказ'!D:D,$J190)))</f>
      </c>
      <c r="E190" s="61" t="str">
        <f>IF($J190=0,"",IF(INDEX('Прайс и заказ'!F:F,$J190)="","",INDEX('Прайс и заказ'!F:F,$J190)))</f>
      </c>
      <c r="F190" s="62" t="str">
        <f>IF($J190=0,"",IF(INDEX('Прайс и заказ'!I:I,$J190)="","",INDEX('Прайс и заказ'!I:I,$J190)))</f>
      </c>
      <c r="G190" s="63" t="str">
        <f>IF($J190=0,"",IF(INDEX('Прайс и заказ'!K:K,$J190)="","",INDEX('Прайс и заказ'!K:K,$J190)))</f>
      </c>
      <c r="H190" s="62" t="str">
        <f>IF($J190=0,"",IF(INDEX('Прайс и заказ'!L:L,$J190)="","",INDEX('Прайс и заказ'!L:L,$J190)))</f>
      </c>
      <c r="I190" s="13" t="str">
        <f>IF($J190=0,"",IF(INDEX('Прайс и заказ'!M:M,$J190)="","",INDEX('Прайс и заказ'!M:M,$J190)))</f>
      </c>
      <c r="J190" t="str">
        <f>IFERROR(MATCH(182,'Прайс и заказ'!$N$7:$N$435,0)+6,0)</f>
      </c>
    </row>
    <row r="191" spans="1:11" customHeight="1" ht="40">
      <c r="A191" s="13" t="str">
        <f>IF($J191=0,"",IFERROR(_xlfn.IMAGE(INDEX('Прайс и заказ'!$O:$O,$J191)),""))</f>
      </c>
      <c r="B191" s="61" t="str">
        <f>IF($J191=0,"",IF(INDEX('Прайс и заказ'!B:B,$J191)="","",INDEX('Прайс и заказ'!B:B,$J191)))</f>
      </c>
      <c r="C191" s="64" t="str">
        <f>IF($J191=0,"",IF(INDEX('Прайс и заказ'!C:C,$J191)="","",INDEX('Прайс и заказ'!C:C,$J191)))</f>
      </c>
      <c r="D191" s="64" t="str">
        <f>IF($J191=0,"",IF(INDEX('Прайс и заказ'!D:D,$J191)="","",INDEX('Прайс и заказ'!D:D,$J191)))</f>
      </c>
      <c r="E191" s="61" t="str">
        <f>IF($J191=0,"",IF(INDEX('Прайс и заказ'!F:F,$J191)="","",INDEX('Прайс и заказ'!F:F,$J191)))</f>
      </c>
      <c r="F191" s="62" t="str">
        <f>IF($J191=0,"",IF(INDEX('Прайс и заказ'!I:I,$J191)="","",INDEX('Прайс и заказ'!I:I,$J191)))</f>
      </c>
      <c r="G191" s="63" t="str">
        <f>IF($J191=0,"",IF(INDEX('Прайс и заказ'!K:K,$J191)="","",INDEX('Прайс и заказ'!K:K,$J191)))</f>
      </c>
      <c r="H191" s="62" t="str">
        <f>IF($J191=0,"",IF(INDEX('Прайс и заказ'!L:L,$J191)="","",INDEX('Прайс и заказ'!L:L,$J191)))</f>
      </c>
      <c r="I191" s="13" t="str">
        <f>IF($J191=0,"",IF(INDEX('Прайс и заказ'!M:M,$J191)="","",INDEX('Прайс и заказ'!M:M,$J191)))</f>
      </c>
      <c r="J191" t="str">
        <f>IFERROR(MATCH(183,'Прайс и заказ'!$N$7:$N$435,0)+6,0)</f>
      </c>
    </row>
    <row r="192" spans="1:11" customHeight="1" ht="40">
      <c r="A192" s="13" t="str">
        <f>IF($J192=0,"",IFERROR(_xlfn.IMAGE(INDEX('Прайс и заказ'!$O:$O,$J192)),""))</f>
      </c>
      <c r="B192" s="61" t="str">
        <f>IF($J192=0,"",IF(INDEX('Прайс и заказ'!B:B,$J192)="","",INDEX('Прайс и заказ'!B:B,$J192)))</f>
      </c>
      <c r="C192" s="64" t="str">
        <f>IF($J192=0,"",IF(INDEX('Прайс и заказ'!C:C,$J192)="","",INDEX('Прайс и заказ'!C:C,$J192)))</f>
      </c>
      <c r="D192" s="64" t="str">
        <f>IF($J192=0,"",IF(INDEX('Прайс и заказ'!D:D,$J192)="","",INDEX('Прайс и заказ'!D:D,$J192)))</f>
      </c>
      <c r="E192" s="61" t="str">
        <f>IF($J192=0,"",IF(INDEX('Прайс и заказ'!F:F,$J192)="","",INDEX('Прайс и заказ'!F:F,$J192)))</f>
      </c>
      <c r="F192" s="62" t="str">
        <f>IF($J192=0,"",IF(INDEX('Прайс и заказ'!I:I,$J192)="","",INDEX('Прайс и заказ'!I:I,$J192)))</f>
      </c>
      <c r="G192" s="63" t="str">
        <f>IF($J192=0,"",IF(INDEX('Прайс и заказ'!K:K,$J192)="","",INDEX('Прайс и заказ'!K:K,$J192)))</f>
      </c>
      <c r="H192" s="62" t="str">
        <f>IF($J192=0,"",IF(INDEX('Прайс и заказ'!L:L,$J192)="","",INDEX('Прайс и заказ'!L:L,$J192)))</f>
      </c>
      <c r="I192" s="13" t="str">
        <f>IF($J192=0,"",IF(INDEX('Прайс и заказ'!M:M,$J192)="","",INDEX('Прайс и заказ'!M:M,$J192)))</f>
      </c>
      <c r="J192" t="str">
        <f>IFERROR(MATCH(184,'Прайс и заказ'!$N$7:$N$435,0)+6,0)</f>
      </c>
    </row>
    <row r="193" spans="1:11" customHeight="1" ht="40">
      <c r="A193" s="13" t="str">
        <f>IF($J193=0,"",IFERROR(_xlfn.IMAGE(INDEX('Прайс и заказ'!$O:$O,$J193)),""))</f>
      </c>
      <c r="B193" s="61" t="str">
        <f>IF($J193=0,"",IF(INDEX('Прайс и заказ'!B:B,$J193)="","",INDEX('Прайс и заказ'!B:B,$J193)))</f>
      </c>
      <c r="C193" s="64" t="str">
        <f>IF($J193=0,"",IF(INDEX('Прайс и заказ'!C:C,$J193)="","",INDEX('Прайс и заказ'!C:C,$J193)))</f>
      </c>
      <c r="D193" s="64" t="str">
        <f>IF($J193=0,"",IF(INDEX('Прайс и заказ'!D:D,$J193)="","",INDEX('Прайс и заказ'!D:D,$J193)))</f>
      </c>
      <c r="E193" s="61" t="str">
        <f>IF($J193=0,"",IF(INDEX('Прайс и заказ'!F:F,$J193)="","",INDEX('Прайс и заказ'!F:F,$J193)))</f>
      </c>
      <c r="F193" s="62" t="str">
        <f>IF($J193=0,"",IF(INDEX('Прайс и заказ'!I:I,$J193)="","",INDEX('Прайс и заказ'!I:I,$J193)))</f>
      </c>
      <c r="G193" s="63" t="str">
        <f>IF($J193=0,"",IF(INDEX('Прайс и заказ'!K:K,$J193)="","",INDEX('Прайс и заказ'!K:K,$J193)))</f>
      </c>
      <c r="H193" s="62" t="str">
        <f>IF($J193=0,"",IF(INDEX('Прайс и заказ'!L:L,$J193)="","",INDEX('Прайс и заказ'!L:L,$J193)))</f>
      </c>
      <c r="I193" s="13" t="str">
        <f>IF($J193=0,"",IF(INDEX('Прайс и заказ'!M:M,$J193)="","",INDEX('Прайс и заказ'!M:M,$J193)))</f>
      </c>
      <c r="J193" t="str">
        <f>IFERROR(MATCH(185,'Прайс и заказ'!$N$7:$N$435,0)+6,0)</f>
      </c>
    </row>
    <row r="194" spans="1:11" customHeight="1" ht="40">
      <c r="A194" s="13" t="str">
        <f>IF($J194=0,"",IFERROR(_xlfn.IMAGE(INDEX('Прайс и заказ'!$O:$O,$J194)),""))</f>
      </c>
      <c r="B194" s="61" t="str">
        <f>IF($J194=0,"",IF(INDEX('Прайс и заказ'!B:B,$J194)="","",INDEX('Прайс и заказ'!B:B,$J194)))</f>
      </c>
      <c r="C194" s="64" t="str">
        <f>IF($J194=0,"",IF(INDEX('Прайс и заказ'!C:C,$J194)="","",INDEX('Прайс и заказ'!C:C,$J194)))</f>
      </c>
      <c r="D194" s="64" t="str">
        <f>IF($J194=0,"",IF(INDEX('Прайс и заказ'!D:D,$J194)="","",INDEX('Прайс и заказ'!D:D,$J194)))</f>
      </c>
      <c r="E194" s="61" t="str">
        <f>IF($J194=0,"",IF(INDEX('Прайс и заказ'!F:F,$J194)="","",INDEX('Прайс и заказ'!F:F,$J194)))</f>
      </c>
      <c r="F194" s="62" t="str">
        <f>IF($J194=0,"",IF(INDEX('Прайс и заказ'!I:I,$J194)="","",INDEX('Прайс и заказ'!I:I,$J194)))</f>
      </c>
      <c r="G194" s="63" t="str">
        <f>IF($J194=0,"",IF(INDEX('Прайс и заказ'!K:K,$J194)="","",INDEX('Прайс и заказ'!K:K,$J194)))</f>
      </c>
      <c r="H194" s="62" t="str">
        <f>IF($J194=0,"",IF(INDEX('Прайс и заказ'!L:L,$J194)="","",INDEX('Прайс и заказ'!L:L,$J194)))</f>
      </c>
      <c r="I194" s="13" t="str">
        <f>IF($J194=0,"",IF(INDEX('Прайс и заказ'!M:M,$J194)="","",INDEX('Прайс и заказ'!M:M,$J194)))</f>
      </c>
      <c r="J194" t="str">
        <f>IFERROR(MATCH(186,'Прайс и заказ'!$N$7:$N$435,0)+6,0)</f>
      </c>
    </row>
    <row r="195" spans="1:11" customHeight="1" ht="40">
      <c r="A195" s="13" t="str">
        <f>IF($J195=0,"",IFERROR(_xlfn.IMAGE(INDEX('Прайс и заказ'!$O:$O,$J195)),""))</f>
      </c>
      <c r="B195" s="61" t="str">
        <f>IF($J195=0,"",IF(INDEX('Прайс и заказ'!B:B,$J195)="","",INDEX('Прайс и заказ'!B:B,$J195)))</f>
      </c>
      <c r="C195" s="64" t="str">
        <f>IF($J195=0,"",IF(INDEX('Прайс и заказ'!C:C,$J195)="","",INDEX('Прайс и заказ'!C:C,$J195)))</f>
      </c>
      <c r="D195" s="64" t="str">
        <f>IF($J195=0,"",IF(INDEX('Прайс и заказ'!D:D,$J195)="","",INDEX('Прайс и заказ'!D:D,$J195)))</f>
      </c>
      <c r="E195" s="61" t="str">
        <f>IF($J195=0,"",IF(INDEX('Прайс и заказ'!F:F,$J195)="","",INDEX('Прайс и заказ'!F:F,$J195)))</f>
      </c>
      <c r="F195" s="62" t="str">
        <f>IF($J195=0,"",IF(INDEX('Прайс и заказ'!I:I,$J195)="","",INDEX('Прайс и заказ'!I:I,$J195)))</f>
      </c>
      <c r="G195" s="63" t="str">
        <f>IF($J195=0,"",IF(INDEX('Прайс и заказ'!K:K,$J195)="","",INDEX('Прайс и заказ'!K:K,$J195)))</f>
      </c>
      <c r="H195" s="62" t="str">
        <f>IF($J195=0,"",IF(INDEX('Прайс и заказ'!L:L,$J195)="","",INDEX('Прайс и заказ'!L:L,$J195)))</f>
      </c>
      <c r="I195" s="13" t="str">
        <f>IF($J195=0,"",IF(INDEX('Прайс и заказ'!M:M,$J195)="","",INDEX('Прайс и заказ'!M:M,$J195)))</f>
      </c>
      <c r="J195" t="str">
        <f>IFERROR(MATCH(187,'Прайс и заказ'!$N$7:$N$435,0)+6,0)</f>
      </c>
    </row>
    <row r="196" spans="1:11" customHeight="1" ht="40">
      <c r="A196" s="13" t="str">
        <f>IF($J196=0,"",IFERROR(_xlfn.IMAGE(INDEX('Прайс и заказ'!$O:$O,$J196)),""))</f>
      </c>
      <c r="B196" s="61" t="str">
        <f>IF($J196=0,"",IF(INDEX('Прайс и заказ'!B:B,$J196)="","",INDEX('Прайс и заказ'!B:B,$J196)))</f>
      </c>
      <c r="C196" s="64" t="str">
        <f>IF($J196=0,"",IF(INDEX('Прайс и заказ'!C:C,$J196)="","",INDEX('Прайс и заказ'!C:C,$J196)))</f>
      </c>
      <c r="D196" s="64" t="str">
        <f>IF($J196=0,"",IF(INDEX('Прайс и заказ'!D:D,$J196)="","",INDEX('Прайс и заказ'!D:D,$J196)))</f>
      </c>
      <c r="E196" s="61" t="str">
        <f>IF($J196=0,"",IF(INDEX('Прайс и заказ'!F:F,$J196)="","",INDEX('Прайс и заказ'!F:F,$J196)))</f>
      </c>
      <c r="F196" s="62" t="str">
        <f>IF($J196=0,"",IF(INDEX('Прайс и заказ'!I:I,$J196)="","",INDEX('Прайс и заказ'!I:I,$J196)))</f>
      </c>
      <c r="G196" s="63" t="str">
        <f>IF($J196=0,"",IF(INDEX('Прайс и заказ'!K:K,$J196)="","",INDEX('Прайс и заказ'!K:K,$J196)))</f>
      </c>
      <c r="H196" s="62" t="str">
        <f>IF($J196=0,"",IF(INDEX('Прайс и заказ'!L:L,$J196)="","",INDEX('Прайс и заказ'!L:L,$J196)))</f>
      </c>
      <c r="I196" s="13" t="str">
        <f>IF($J196=0,"",IF(INDEX('Прайс и заказ'!M:M,$J196)="","",INDEX('Прайс и заказ'!M:M,$J196)))</f>
      </c>
      <c r="J196" t="str">
        <f>IFERROR(MATCH(188,'Прайс и заказ'!$N$7:$N$435,0)+6,0)</f>
      </c>
    </row>
    <row r="197" spans="1:11" customHeight="1" ht="40">
      <c r="A197" s="13" t="str">
        <f>IF($J197=0,"",IFERROR(_xlfn.IMAGE(INDEX('Прайс и заказ'!$O:$O,$J197)),""))</f>
      </c>
      <c r="B197" s="61" t="str">
        <f>IF($J197=0,"",IF(INDEX('Прайс и заказ'!B:B,$J197)="","",INDEX('Прайс и заказ'!B:B,$J197)))</f>
      </c>
      <c r="C197" s="64" t="str">
        <f>IF($J197=0,"",IF(INDEX('Прайс и заказ'!C:C,$J197)="","",INDEX('Прайс и заказ'!C:C,$J197)))</f>
      </c>
      <c r="D197" s="64" t="str">
        <f>IF($J197=0,"",IF(INDEX('Прайс и заказ'!D:D,$J197)="","",INDEX('Прайс и заказ'!D:D,$J197)))</f>
      </c>
      <c r="E197" s="61" t="str">
        <f>IF($J197=0,"",IF(INDEX('Прайс и заказ'!F:F,$J197)="","",INDEX('Прайс и заказ'!F:F,$J197)))</f>
      </c>
      <c r="F197" s="62" t="str">
        <f>IF($J197=0,"",IF(INDEX('Прайс и заказ'!I:I,$J197)="","",INDEX('Прайс и заказ'!I:I,$J197)))</f>
      </c>
      <c r="G197" s="63" t="str">
        <f>IF($J197=0,"",IF(INDEX('Прайс и заказ'!K:K,$J197)="","",INDEX('Прайс и заказ'!K:K,$J197)))</f>
      </c>
      <c r="H197" s="62" t="str">
        <f>IF($J197=0,"",IF(INDEX('Прайс и заказ'!L:L,$J197)="","",INDEX('Прайс и заказ'!L:L,$J197)))</f>
      </c>
      <c r="I197" s="13" t="str">
        <f>IF($J197=0,"",IF(INDEX('Прайс и заказ'!M:M,$J197)="","",INDEX('Прайс и заказ'!M:M,$J197)))</f>
      </c>
      <c r="J197" t="str">
        <f>IFERROR(MATCH(189,'Прайс и заказ'!$N$7:$N$435,0)+6,0)</f>
      </c>
    </row>
    <row r="198" spans="1:11" customHeight="1" ht="40">
      <c r="A198" s="13" t="str">
        <f>IF($J198=0,"",IFERROR(_xlfn.IMAGE(INDEX('Прайс и заказ'!$O:$O,$J198)),""))</f>
      </c>
      <c r="B198" s="61" t="str">
        <f>IF($J198=0,"",IF(INDEX('Прайс и заказ'!B:B,$J198)="","",INDEX('Прайс и заказ'!B:B,$J198)))</f>
      </c>
      <c r="C198" s="64" t="str">
        <f>IF($J198=0,"",IF(INDEX('Прайс и заказ'!C:C,$J198)="","",INDEX('Прайс и заказ'!C:C,$J198)))</f>
      </c>
      <c r="D198" s="64" t="str">
        <f>IF($J198=0,"",IF(INDEX('Прайс и заказ'!D:D,$J198)="","",INDEX('Прайс и заказ'!D:D,$J198)))</f>
      </c>
      <c r="E198" s="61" t="str">
        <f>IF($J198=0,"",IF(INDEX('Прайс и заказ'!F:F,$J198)="","",INDEX('Прайс и заказ'!F:F,$J198)))</f>
      </c>
      <c r="F198" s="62" t="str">
        <f>IF($J198=0,"",IF(INDEX('Прайс и заказ'!I:I,$J198)="","",INDEX('Прайс и заказ'!I:I,$J198)))</f>
      </c>
      <c r="G198" s="63" t="str">
        <f>IF($J198=0,"",IF(INDEX('Прайс и заказ'!K:K,$J198)="","",INDEX('Прайс и заказ'!K:K,$J198)))</f>
      </c>
      <c r="H198" s="62" t="str">
        <f>IF($J198=0,"",IF(INDEX('Прайс и заказ'!L:L,$J198)="","",INDEX('Прайс и заказ'!L:L,$J198)))</f>
      </c>
      <c r="I198" s="13" t="str">
        <f>IF($J198=0,"",IF(INDEX('Прайс и заказ'!M:M,$J198)="","",INDEX('Прайс и заказ'!M:M,$J198)))</f>
      </c>
      <c r="J198" t="str">
        <f>IFERROR(MATCH(190,'Прайс и заказ'!$N$7:$N$435,0)+6,0)</f>
      </c>
    </row>
    <row r="199" spans="1:11" customHeight="1" ht="40">
      <c r="A199" s="13" t="str">
        <f>IF($J199=0,"",IFERROR(_xlfn.IMAGE(INDEX('Прайс и заказ'!$O:$O,$J199)),""))</f>
      </c>
      <c r="B199" s="61" t="str">
        <f>IF($J199=0,"",IF(INDEX('Прайс и заказ'!B:B,$J199)="","",INDEX('Прайс и заказ'!B:B,$J199)))</f>
      </c>
      <c r="C199" s="64" t="str">
        <f>IF($J199=0,"",IF(INDEX('Прайс и заказ'!C:C,$J199)="","",INDEX('Прайс и заказ'!C:C,$J199)))</f>
      </c>
      <c r="D199" s="64" t="str">
        <f>IF($J199=0,"",IF(INDEX('Прайс и заказ'!D:D,$J199)="","",INDEX('Прайс и заказ'!D:D,$J199)))</f>
      </c>
      <c r="E199" s="61" t="str">
        <f>IF($J199=0,"",IF(INDEX('Прайс и заказ'!F:F,$J199)="","",INDEX('Прайс и заказ'!F:F,$J199)))</f>
      </c>
      <c r="F199" s="62" t="str">
        <f>IF($J199=0,"",IF(INDEX('Прайс и заказ'!I:I,$J199)="","",INDEX('Прайс и заказ'!I:I,$J199)))</f>
      </c>
      <c r="G199" s="63" t="str">
        <f>IF($J199=0,"",IF(INDEX('Прайс и заказ'!K:K,$J199)="","",INDEX('Прайс и заказ'!K:K,$J199)))</f>
      </c>
      <c r="H199" s="62" t="str">
        <f>IF($J199=0,"",IF(INDEX('Прайс и заказ'!L:L,$J199)="","",INDEX('Прайс и заказ'!L:L,$J199)))</f>
      </c>
      <c r="I199" s="13" t="str">
        <f>IF($J199=0,"",IF(INDEX('Прайс и заказ'!M:M,$J199)="","",INDEX('Прайс и заказ'!M:M,$J199)))</f>
      </c>
      <c r="J199" t="str">
        <f>IFERROR(MATCH(191,'Прайс и заказ'!$N$7:$N$435,0)+6,0)</f>
      </c>
    </row>
    <row r="200" spans="1:11" customHeight="1" ht="40">
      <c r="A200" s="13" t="str">
        <f>IF($J200=0,"",IFERROR(_xlfn.IMAGE(INDEX('Прайс и заказ'!$O:$O,$J200)),""))</f>
      </c>
      <c r="B200" s="61" t="str">
        <f>IF($J200=0,"",IF(INDEX('Прайс и заказ'!B:B,$J200)="","",INDEX('Прайс и заказ'!B:B,$J200)))</f>
      </c>
      <c r="C200" s="64" t="str">
        <f>IF($J200=0,"",IF(INDEX('Прайс и заказ'!C:C,$J200)="","",INDEX('Прайс и заказ'!C:C,$J200)))</f>
      </c>
      <c r="D200" s="64" t="str">
        <f>IF($J200=0,"",IF(INDEX('Прайс и заказ'!D:D,$J200)="","",INDEX('Прайс и заказ'!D:D,$J200)))</f>
      </c>
      <c r="E200" s="61" t="str">
        <f>IF($J200=0,"",IF(INDEX('Прайс и заказ'!F:F,$J200)="","",INDEX('Прайс и заказ'!F:F,$J200)))</f>
      </c>
      <c r="F200" s="62" t="str">
        <f>IF($J200=0,"",IF(INDEX('Прайс и заказ'!I:I,$J200)="","",INDEX('Прайс и заказ'!I:I,$J200)))</f>
      </c>
      <c r="G200" s="63" t="str">
        <f>IF($J200=0,"",IF(INDEX('Прайс и заказ'!K:K,$J200)="","",INDEX('Прайс и заказ'!K:K,$J200)))</f>
      </c>
      <c r="H200" s="62" t="str">
        <f>IF($J200=0,"",IF(INDEX('Прайс и заказ'!L:L,$J200)="","",INDEX('Прайс и заказ'!L:L,$J200)))</f>
      </c>
      <c r="I200" s="13" t="str">
        <f>IF($J200=0,"",IF(INDEX('Прайс и заказ'!M:M,$J200)="","",INDEX('Прайс и заказ'!M:M,$J200)))</f>
      </c>
      <c r="J200" t="str">
        <f>IFERROR(MATCH(192,'Прайс и заказ'!$N$7:$N$435,0)+6,0)</f>
      </c>
    </row>
    <row r="201" spans="1:11" customHeight="1" ht="40">
      <c r="A201" s="13" t="str">
        <f>IF($J201=0,"",IFERROR(_xlfn.IMAGE(INDEX('Прайс и заказ'!$O:$O,$J201)),""))</f>
      </c>
      <c r="B201" s="61" t="str">
        <f>IF($J201=0,"",IF(INDEX('Прайс и заказ'!B:B,$J201)="","",INDEX('Прайс и заказ'!B:B,$J201)))</f>
      </c>
      <c r="C201" s="64" t="str">
        <f>IF($J201=0,"",IF(INDEX('Прайс и заказ'!C:C,$J201)="","",INDEX('Прайс и заказ'!C:C,$J201)))</f>
      </c>
      <c r="D201" s="64" t="str">
        <f>IF($J201=0,"",IF(INDEX('Прайс и заказ'!D:D,$J201)="","",INDEX('Прайс и заказ'!D:D,$J201)))</f>
      </c>
      <c r="E201" s="61" t="str">
        <f>IF($J201=0,"",IF(INDEX('Прайс и заказ'!F:F,$J201)="","",INDEX('Прайс и заказ'!F:F,$J201)))</f>
      </c>
      <c r="F201" s="62" t="str">
        <f>IF($J201=0,"",IF(INDEX('Прайс и заказ'!I:I,$J201)="","",INDEX('Прайс и заказ'!I:I,$J201)))</f>
      </c>
      <c r="G201" s="63" t="str">
        <f>IF($J201=0,"",IF(INDEX('Прайс и заказ'!K:K,$J201)="","",INDEX('Прайс и заказ'!K:K,$J201)))</f>
      </c>
      <c r="H201" s="62" t="str">
        <f>IF($J201=0,"",IF(INDEX('Прайс и заказ'!L:L,$J201)="","",INDEX('Прайс и заказ'!L:L,$J201)))</f>
      </c>
      <c r="I201" s="13" t="str">
        <f>IF($J201=0,"",IF(INDEX('Прайс и заказ'!M:M,$J201)="","",INDEX('Прайс и заказ'!M:M,$J201)))</f>
      </c>
      <c r="J201" t="str">
        <f>IFERROR(MATCH(193,'Прайс и заказ'!$N$7:$N$435,0)+6,0)</f>
      </c>
    </row>
    <row r="202" spans="1:11" customHeight="1" ht="40">
      <c r="A202" s="13" t="str">
        <f>IF($J202=0,"",IFERROR(_xlfn.IMAGE(INDEX('Прайс и заказ'!$O:$O,$J202)),""))</f>
      </c>
      <c r="B202" s="61" t="str">
        <f>IF($J202=0,"",IF(INDEX('Прайс и заказ'!B:B,$J202)="","",INDEX('Прайс и заказ'!B:B,$J202)))</f>
      </c>
      <c r="C202" s="64" t="str">
        <f>IF($J202=0,"",IF(INDEX('Прайс и заказ'!C:C,$J202)="","",INDEX('Прайс и заказ'!C:C,$J202)))</f>
      </c>
      <c r="D202" s="64" t="str">
        <f>IF($J202=0,"",IF(INDEX('Прайс и заказ'!D:D,$J202)="","",INDEX('Прайс и заказ'!D:D,$J202)))</f>
      </c>
      <c r="E202" s="61" t="str">
        <f>IF($J202=0,"",IF(INDEX('Прайс и заказ'!F:F,$J202)="","",INDEX('Прайс и заказ'!F:F,$J202)))</f>
      </c>
      <c r="F202" s="62" t="str">
        <f>IF($J202=0,"",IF(INDEX('Прайс и заказ'!I:I,$J202)="","",INDEX('Прайс и заказ'!I:I,$J202)))</f>
      </c>
      <c r="G202" s="63" t="str">
        <f>IF($J202=0,"",IF(INDEX('Прайс и заказ'!K:K,$J202)="","",INDEX('Прайс и заказ'!K:K,$J202)))</f>
      </c>
      <c r="H202" s="62" t="str">
        <f>IF($J202=0,"",IF(INDEX('Прайс и заказ'!L:L,$J202)="","",INDEX('Прайс и заказ'!L:L,$J202)))</f>
      </c>
      <c r="I202" s="13" t="str">
        <f>IF($J202=0,"",IF(INDEX('Прайс и заказ'!M:M,$J202)="","",INDEX('Прайс и заказ'!M:M,$J202)))</f>
      </c>
      <c r="J202" t="str">
        <f>IFERROR(MATCH(194,'Прайс и заказ'!$N$7:$N$435,0)+6,0)</f>
      </c>
    </row>
    <row r="203" spans="1:11" customHeight="1" ht="40">
      <c r="A203" s="13" t="str">
        <f>IF($J203=0,"",IFERROR(_xlfn.IMAGE(INDEX('Прайс и заказ'!$O:$O,$J203)),""))</f>
      </c>
      <c r="B203" s="61" t="str">
        <f>IF($J203=0,"",IF(INDEX('Прайс и заказ'!B:B,$J203)="","",INDEX('Прайс и заказ'!B:B,$J203)))</f>
      </c>
      <c r="C203" s="64" t="str">
        <f>IF($J203=0,"",IF(INDEX('Прайс и заказ'!C:C,$J203)="","",INDEX('Прайс и заказ'!C:C,$J203)))</f>
      </c>
      <c r="D203" s="64" t="str">
        <f>IF($J203=0,"",IF(INDEX('Прайс и заказ'!D:D,$J203)="","",INDEX('Прайс и заказ'!D:D,$J203)))</f>
      </c>
      <c r="E203" s="61" t="str">
        <f>IF($J203=0,"",IF(INDEX('Прайс и заказ'!F:F,$J203)="","",INDEX('Прайс и заказ'!F:F,$J203)))</f>
      </c>
      <c r="F203" s="62" t="str">
        <f>IF($J203=0,"",IF(INDEX('Прайс и заказ'!I:I,$J203)="","",INDEX('Прайс и заказ'!I:I,$J203)))</f>
      </c>
      <c r="G203" s="63" t="str">
        <f>IF($J203=0,"",IF(INDEX('Прайс и заказ'!K:K,$J203)="","",INDEX('Прайс и заказ'!K:K,$J203)))</f>
      </c>
      <c r="H203" s="62" t="str">
        <f>IF($J203=0,"",IF(INDEX('Прайс и заказ'!L:L,$J203)="","",INDEX('Прайс и заказ'!L:L,$J203)))</f>
      </c>
      <c r="I203" s="13" t="str">
        <f>IF($J203=0,"",IF(INDEX('Прайс и заказ'!M:M,$J203)="","",INDEX('Прайс и заказ'!M:M,$J203)))</f>
      </c>
      <c r="J203" t="str">
        <f>IFERROR(MATCH(195,'Прайс и заказ'!$N$7:$N$435,0)+6,0)</f>
      </c>
    </row>
    <row r="204" spans="1:11" customHeight="1" ht="40">
      <c r="A204" s="13" t="str">
        <f>IF($J204=0,"",IFERROR(_xlfn.IMAGE(INDEX('Прайс и заказ'!$O:$O,$J204)),""))</f>
      </c>
      <c r="B204" s="61" t="str">
        <f>IF($J204=0,"",IF(INDEX('Прайс и заказ'!B:B,$J204)="","",INDEX('Прайс и заказ'!B:B,$J204)))</f>
      </c>
      <c r="C204" s="64" t="str">
        <f>IF($J204=0,"",IF(INDEX('Прайс и заказ'!C:C,$J204)="","",INDEX('Прайс и заказ'!C:C,$J204)))</f>
      </c>
      <c r="D204" s="64" t="str">
        <f>IF($J204=0,"",IF(INDEX('Прайс и заказ'!D:D,$J204)="","",INDEX('Прайс и заказ'!D:D,$J204)))</f>
      </c>
      <c r="E204" s="61" t="str">
        <f>IF($J204=0,"",IF(INDEX('Прайс и заказ'!F:F,$J204)="","",INDEX('Прайс и заказ'!F:F,$J204)))</f>
      </c>
      <c r="F204" s="62" t="str">
        <f>IF($J204=0,"",IF(INDEX('Прайс и заказ'!I:I,$J204)="","",INDEX('Прайс и заказ'!I:I,$J204)))</f>
      </c>
      <c r="G204" s="63" t="str">
        <f>IF($J204=0,"",IF(INDEX('Прайс и заказ'!K:K,$J204)="","",INDEX('Прайс и заказ'!K:K,$J204)))</f>
      </c>
      <c r="H204" s="62" t="str">
        <f>IF($J204=0,"",IF(INDEX('Прайс и заказ'!L:L,$J204)="","",INDEX('Прайс и заказ'!L:L,$J204)))</f>
      </c>
      <c r="I204" s="13" t="str">
        <f>IF($J204=0,"",IF(INDEX('Прайс и заказ'!M:M,$J204)="","",INDEX('Прайс и заказ'!M:M,$J204)))</f>
      </c>
      <c r="J204" t="str">
        <f>IFERROR(MATCH(196,'Прайс и заказ'!$N$7:$N$435,0)+6,0)</f>
      </c>
    </row>
    <row r="205" spans="1:11" customHeight="1" ht="40">
      <c r="A205" s="13" t="str">
        <f>IF($J205=0,"",IFERROR(_xlfn.IMAGE(INDEX('Прайс и заказ'!$O:$O,$J205)),""))</f>
      </c>
      <c r="B205" s="61" t="str">
        <f>IF($J205=0,"",IF(INDEX('Прайс и заказ'!B:B,$J205)="","",INDEX('Прайс и заказ'!B:B,$J205)))</f>
      </c>
      <c r="C205" s="64" t="str">
        <f>IF($J205=0,"",IF(INDEX('Прайс и заказ'!C:C,$J205)="","",INDEX('Прайс и заказ'!C:C,$J205)))</f>
      </c>
      <c r="D205" s="64" t="str">
        <f>IF($J205=0,"",IF(INDEX('Прайс и заказ'!D:D,$J205)="","",INDEX('Прайс и заказ'!D:D,$J205)))</f>
      </c>
      <c r="E205" s="61" t="str">
        <f>IF($J205=0,"",IF(INDEX('Прайс и заказ'!F:F,$J205)="","",INDEX('Прайс и заказ'!F:F,$J205)))</f>
      </c>
      <c r="F205" s="62" t="str">
        <f>IF($J205=0,"",IF(INDEX('Прайс и заказ'!I:I,$J205)="","",INDEX('Прайс и заказ'!I:I,$J205)))</f>
      </c>
      <c r="G205" s="63" t="str">
        <f>IF($J205=0,"",IF(INDEX('Прайс и заказ'!K:K,$J205)="","",INDEX('Прайс и заказ'!K:K,$J205)))</f>
      </c>
      <c r="H205" s="62" t="str">
        <f>IF($J205=0,"",IF(INDEX('Прайс и заказ'!L:L,$J205)="","",INDEX('Прайс и заказ'!L:L,$J205)))</f>
      </c>
      <c r="I205" s="13" t="str">
        <f>IF($J205=0,"",IF(INDEX('Прайс и заказ'!M:M,$J205)="","",INDEX('Прайс и заказ'!M:M,$J205)))</f>
      </c>
      <c r="J205" t="str">
        <f>IFERROR(MATCH(197,'Прайс и заказ'!$N$7:$N$435,0)+6,0)</f>
      </c>
    </row>
    <row r="206" spans="1:11" customHeight="1" ht="40">
      <c r="A206" s="13" t="str">
        <f>IF($J206=0,"",IFERROR(_xlfn.IMAGE(INDEX('Прайс и заказ'!$O:$O,$J206)),""))</f>
      </c>
      <c r="B206" s="61" t="str">
        <f>IF($J206=0,"",IF(INDEX('Прайс и заказ'!B:B,$J206)="","",INDEX('Прайс и заказ'!B:B,$J206)))</f>
      </c>
      <c r="C206" s="64" t="str">
        <f>IF($J206=0,"",IF(INDEX('Прайс и заказ'!C:C,$J206)="","",INDEX('Прайс и заказ'!C:C,$J206)))</f>
      </c>
      <c r="D206" s="64" t="str">
        <f>IF($J206=0,"",IF(INDEX('Прайс и заказ'!D:D,$J206)="","",INDEX('Прайс и заказ'!D:D,$J206)))</f>
      </c>
      <c r="E206" s="61" t="str">
        <f>IF($J206=0,"",IF(INDEX('Прайс и заказ'!F:F,$J206)="","",INDEX('Прайс и заказ'!F:F,$J206)))</f>
      </c>
      <c r="F206" s="62" t="str">
        <f>IF($J206=0,"",IF(INDEX('Прайс и заказ'!I:I,$J206)="","",INDEX('Прайс и заказ'!I:I,$J206)))</f>
      </c>
      <c r="G206" s="63" t="str">
        <f>IF($J206=0,"",IF(INDEX('Прайс и заказ'!K:K,$J206)="","",INDEX('Прайс и заказ'!K:K,$J206)))</f>
      </c>
      <c r="H206" s="62" t="str">
        <f>IF($J206=0,"",IF(INDEX('Прайс и заказ'!L:L,$J206)="","",INDEX('Прайс и заказ'!L:L,$J206)))</f>
      </c>
      <c r="I206" s="13" t="str">
        <f>IF($J206=0,"",IF(INDEX('Прайс и заказ'!M:M,$J206)="","",INDEX('Прайс и заказ'!M:M,$J206)))</f>
      </c>
      <c r="J206" t="str">
        <f>IFERROR(MATCH(198,'Прайс и заказ'!$N$7:$N$435,0)+6,0)</f>
      </c>
    </row>
    <row r="207" spans="1:11" customHeight="1" ht="40">
      <c r="A207" s="13" t="str">
        <f>IF($J207=0,"",IFERROR(_xlfn.IMAGE(INDEX('Прайс и заказ'!$O:$O,$J207)),""))</f>
      </c>
      <c r="B207" s="61" t="str">
        <f>IF($J207=0,"",IF(INDEX('Прайс и заказ'!B:B,$J207)="","",INDEX('Прайс и заказ'!B:B,$J207)))</f>
      </c>
      <c r="C207" s="64" t="str">
        <f>IF($J207=0,"",IF(INDEX('Прайс и заказ'!C:C,$J207)="","",INDEX('Прайс и заказ'!C:C,$J207)))</f>
      </c>
      <c r="D207" s="64" t="str">
        <f>IF($J207=0,"",IF(INDEX('Прайс и заказ'!D:D,$J207)="","",INDEX('Прайс и заказ'!D:D,$J207)))</f>
      </c>
      <c r="E207" s="61" t="str">
        <f>IF($J207=0,"",IF(INDEX('Прайс и заказ'!F:F,$J207)="","",INDEX('Прайс и заказ'!F:F,$J207)))</f>
      </c>
      <c r="F207" s="62" t="str">
        <f>IF($J207=0,"",IF(INDEX('Прайс и заказ'!I:I,$J207)="","",INDEX('Прайс и заказ'!I:I,$J207)))</f>
      </c>
      <c r="G207" s="63" t="str">
        <f>IF($J207=0,"",IF(INDEX('Прайс и заказ'!K:K,$J207)="","",INDEX('Прайс и заказ'!K:K,$J207)))</f>
      </c>
      <c r="H207" s="62" t="str">
        <f>IF($J207=0,"",IF(INDEX('Прайс и заказ'!L:L,$J207)="","",INDEX('Прайс и заказ'!L:L,$J207)))</f>
      </c>
      <c r="I207" s="13" t="str">
        <f>IF($J207=0,"",IF(INDEX('Прайс и заказ'!M:M,$J207)="","",INDEX('Прайс и заказ'!M:M,$J207)))</f>
      </c>
      <c r="J207" t="str">
        <f>IFERROR(MATCH(199,'Прайс и заказ'!$N$7:$N$435,0)+6,0)</f>
      </c>
    </row>
    <row r="208" spans="1:11" customHeight="1" ht="40">
      <c r="A208" s="13" t="str">
        <f>IF($J208=0,"",IFERROR(_xlfn.IMAGE(INDEX('Прайс и заказ'!$O:$O,$J208)),""))</f>
      </c>
      <c r="B208" s="61" t="str">
        <f>IF($J208=0,"",IF(INDEX('Прайс и заказ'!B:B,$J208)="","",INDEX('Прайс и заказ'!B:B,$J208)))</f>
      </c>
      <c r="C208" s="64" t="str">
        <f>IF($J208=0,"",IF(INDEX('Прайс и заказ'!C:C,$J208)="","",INDEX('Прайс и заказ'!C:C,$J208)))</f>
      </c>
      <c r="D208" s="64" t="str">
        <f>IF($J208=0,"",IF(INDEX('Прайс и заказ'!D:D,$J208)="","",INDEX('Прайс и заказ'!D:D,$J208)))</f>
      </c>
      <c r="E208" s="61" t="str">
        <f>IF($J208=0,"",IF(INDEX('Прайс и заказ'!F:F,$J208)="","",INDEX('Прайс и заказ'!F:F,$J208)))</f>
      </c>
      <c r="F208" s="62" t="str">
        <f>IF($J208=0,"",IF(INDEX('Прайс и заказ'!I:I,$J208)="","",INDEX('Прайс и заказ'!I:I,$J208)))</f>
      </c>
      <c r="G208" s="63" t="str">
        <f>IF($J208=0,"",IF(INDEX('Прайс и заказ'!K:K,$J208)="","",INDEX('Прайс и заказ'!K:K,$J208)))</f>
      </c>
      <c r="H208" s="62" t="str">
        <f>IF($J208=0,"",IF(INDEX('Прайс и заказ'!L:L,$J208)="","",INDEX('Прайс и заказ'!L:L,$J208)))</f>
      </c>
      <c r="I208" s="13" t="str">
        <f>IF($J208=0,"",IF(INDEX('Прайс и заказ'!M:M,$J208)="","",INDEX('Прайс и заказ'!M:M,$J208)))</f>
      </c>
      <c r="J208" t="str">
        <f>IFERROR(MATCH(200,'Прайс и заказ'!$N$7:$N$435,0)+6,0)</f>
      </c>
    </row>
    <row r="209" spans="1:11" customHeight="1" ht="40">
      <c r="A209" s="13" t="str">
        <f>IF($J209=0,"",IFERROR(_xlfn.IMAGE(INDEX('Прайс и заказ'!$O:$O,$J209)),""))</f>
      </c>
      <c r="B209" s="61" t="str">
        <f>IF($J209=0,"",IF(INDEX('Прайс и заказ'!B:B,$J209)="","",INDEX('Прайс и заказ'!B:B,$J209)))</f>
      </c>
      <c r="C209" s="64" t="str">
        <f>IF($J209=0,"",IF(INDEX('Прайс и заказ'!C:C,$J209)="","",INDEX('Прайс и заказ'!C:C,$J209)))</f>
      </c>
      <c r="D209" s="64" t="str">
        <f>IF($J209=0,"",IF(INDEX('Прайс и заказ'!D:D,$J209)="","",INDEX('Прайс и заказ'!D:D,$J209)))</f>
      </c>
      <c r="E209" s="61" t="str">
        <f>IF($J209=0,"",IF(INDEX('Прайс и заказ'!F:F,$J209)="","",INDEX('Прайс и заказ'!F:F,$J209)))</f>
      </c>
      <c r="F209" s="62" t="str">
        <f>IF($J209=0,"",IF(INDEX('Прайс и заказ'!I:I,$J209)="","",INDEX('Прайс и заказ'!I:I,$J209)))</f>
      </c>
      <c r="G209" s="63" t="str">
        <f>IF($J209=0,"",IF(INDEX('Прайс и заказ'!K:K,$J209)="","",INDEX('Прайс и заказ'!K:K,$J209)))</f>
      </c>
      <c r="H209" s="62" t="str">
        <f>IF($J209=0,"",IF(INDEX('Прайс и заказ'!L:L,$J209)="","",INDEX('Прайс и заказ'!L:L,$J209)))</f>
      </c>
      <c r="I209" s="13" t="str">
        <f>IF($J209=0,"",IF(INDEX('Прайс и заказ'!M:M,$J209)="","",INDEX('Прайс и заказ'!M:M,$J209)))</f>
      </c>
      <c r="J209" t="str">
        <f>IFERROR(MATCH(201,'Прайс и заказ'!$N$7:$N$435,0)+6,0)</f>
      </c>
    </row>
    <row r="210" spans="1:11" customHeight="1" ht="40">
      <c r="A210" s="13" t="str">
        <f>IF($J210=0,"",IFERROR(_xlfn.IMAGE(INDEX('Прайс и заказ'!$O:$O,$J210)),""))</f>
      </c>
      <c r="B210" s="61" t="str">
        <f>IF($J210=0,"",IF(INDEX('Прайс и заказ'!B:B,$J210)="","",INDEX('Прайс и заказ'!B:B,$J210)))</f>
      </c>
      <c r="C210" s="64" t="str">
        <f>IF($J210=0,"",IF(INDEX('Прайс и заказ'!C:C,$J210)="","",INDEX('Прайс и заказ'!C:C,$J210)))</f>
      </c>
      <c r="D210" s="64" t="str">
        <f>IF($J210=0,"",IF(INDEX('Прайс и заказ'!D:D,$J210)="","",INDEX('Прайс и заказ'!D:D,$J210)))</f>
      </c>
      <c r="E210" s="61" t="str">
        <f>IF($J210=0,"",IF(INDEX('Прайс и заказ'!F:F,$J210)="","",INDEX('Прайс и заказ'!F:F,$J210)))</f>
      </c>
      <c r="F210" s="62" t="str">
        <f>IF($J210=0,"",IF(INDEX('Прайс и заказ'!I:I,$J210)="","",INDEX('Прайс и заказ'!I:I,$J210)))</f>
      </c>
      <c r="G210" s="63" t="str">
        <f>IF($J210=0,"",IF(INDEX('Прайс и заказ'!K:K,$J210)="","",INDEX('Прайс и заказ'!K:K,$J210)))</f>
      </c>
      <c r="H210" s="62" t="str">
        <f>IF($J210=0,"",IF(INDEX('Прайс и заказ'!L:L,$J210)="","",INDEX('Прайс и заказ'!L:L,$J210)))</f>
      </c>
      <c r="I210" s="13" t="str">
        <f>IF($J210=0,"",IF(INDEX('Прайс и заказ'!M:M,$J210)="","",INDEX('Прайс и заказ'!M:M,$J210)))</f>
      </c>
      <c r="J210" t="str">
        <f>IFERROR(MATCH(202,'Прайс и заказ'!$N$7:$N$435,0)+6,0)</f>
      </c>
    </row>
    <row r="211" spans="1:11" customHeight="1" ht="40">
      <c r="A211" s="13" t="str">
        <f>IF($J211=0,"",IFERROR(_xlfn.IMAGE(INDEX('Прайс и заказ'!$O:$O,$J211)),""))</f>
      </c>
      <c r="B211" s="61" t="str">
        <f>IF($J211=0,"",IF(INDEX('Прайс и заказ'!B:B,$J211)="","",INDEX('Прайс и заказ'!B:B,$J211)))</f>
      </c>
      <c r="C211" s="64" t="str">
        <f>IF($J211=0,"",IF(INDEX('Прайс и заказ'!C:C,$J211)="","",INDEX('Прайс и заказ'!C:C,$J211)))</f>
      </c>
      <c r="D211" s="64" t="str">
        <f>IF($J211=0,"",IF(INDEX('Прайс и заказ'!D:D,$J211)="","",INDEX('Прайс и заказ'!D:D,$J211)))</f>
      </c>
      <c r="E211" s="61" t="str">
        <f>IF($J211=0,"",IF(INDEX('Прайс и заказ'!F:F,$J211)="","",INDEX('Прайс и заказ'!F:F,$J211)))</f>
      </c>
      <c r="F211" s="62" t="str">
        <f>IF($J211=0,"",IF(INDEX('Прайс и заказ'!I:I,$J211)="","",INDEX('Прайс и заказ'!I:I,$J211)))</f>
      </c>
      <c r="G211" s="63" t="str">
        <f>IF($J211=0,"",IF(INDEX('Прайс и заказ'!K:K,$J211)="","",INDEX('Прайс и заказ'!K:K,$J211)))</f>
      </c>
      <c r="H211" s="62" t="str">
        <f>IF($J211=0,"",IF(INDEX('Прайс и заказ'!L:L,$J211)="","",INDEX('Прайс и заказ'!L:L,$J211)))</f>
      </c>
      <c r="I211" s="13" t="str">
        <f>IF($J211=0,"",IF(INDEX('Прайс и заказ'!M:M,$J211)="","",INDEX('Прайс и заказ'!M:M,$J211)))</f>
      </c>
      <c r="J211" t="str">
        <f>IFERROR(MATCH(203,'Прайс и заказ'!$N$7:$N$435,0)+6,0)</f>
      </c>
    </row>
    <row r="212" spans="1:11" customHeight="1" ht="40">
      <c r="A212" s="13" t="str">
        <f>IF($J212=0,"",IFERROR(_xlfn.IMAGE(INDEX('Прайс и заказ'!$O:$O,$J212)),""))</f>
      </c>
      <c r="B212" s="61" t="str">
        <f>IF($J212=0,"",IF(INDEX('Прайс и заказ'!B:B,$J212)="","",INDEX('Прайс и заказ'!B:B,$J212)))</f>
      </c>
      <c r="C212" s="64" t="str">
        <f>IF($J212=0,"",IF(INDEX('Прайс и заказ'!C:C,$J212)="","",INDEX('Прайс и заказ'!C:C,$J212)))</f>
      </c>
      <c r="D212" s="64" t="str">
        <f>IF($J212=0,"",IF(INDEX('Прайс и заказ'!D:D,$J212)="","",INDEX('Прайс и заказ'!D:D,$J212)))</f>
      </c>
      <c r="E212" s="61" t="str">
        <f>IF($J212=0,"",IF(INDEX('Прайс и заказ'!F:F,$J212)="","",INDEX('Прайс и заказ'!F:F,$J212)))</f>
      </c>
      <c r="F212" s="62" t="str">
        <f>IF($J212=0,"",IF(INDEX('Прайс и заказ'!I:I,$J212)="","",INDEX('Прайс и заказ'!I:I,$J212)))</f>
      </c>
      <c r="G212" s="63" t="str">
        <f>IF($J212=0,"",IF(INDEX('Прайс и заказ'!K:K,$J212)="","",INDEX('Прайс и заказ'!K:K,$J212)))</f>
      </c>
      <c r="H212" s="62" t="str">
        <f>IF($J212=0,"",IF(INDEX('Прайс и заказ'!L:L,$J212)="","",INDEX('Прайс и заказ'!L:L,$J212)))</f>
      </c>
      <c r="I212" s="13" t="str">
        <f>IF($J212=0,"",IF(INDEX('Прайс и заказ'!M:M,$J212)="","",INDEX('Прайс и заказ'!M:M,$J212)))</f>
      </c>
      <c r="J212" t="str">
        <f>IFERROR(MATCH(204,'Прайс и заказ'!$N$7:$N$435,0)+6,0)</f>
      </c>
    </row>
    <row r="213" spans="1:11" customHeight="1" ht="40">
      <c r="A213" s="13" t="str">
        <f>IF($J213=0,"",IFERROR(_xlfn.IMAGE(INDEX('Прайс и заказ'!$O:$O,$J213)),""))</f>
      </c>
      <c r="B213" s="61" t="str">
        <f>IF($J213=0,"",IF(INDEX('Прайс и заказ'!B:B,$J213)="","",INDEX('Прайс и заказ'!B:B,$J213)))</f>
      </c>
      <c r="C213" s="64" t="str">
        <f>IF($J213=0,"",IF(INDEX('Прайс и заказ'!C:C,$J213)="","",INDEX('Прайс и заказ'!C:C,$J213)))</f>
      </c>
      <c r="D213" s="64" t="str">
        <f>IF($J213=0,"",IF(INDEX('Прайс и заказ'!D:D,$J213)="","",INDEX('Прайс и заказ'!D:D,$J213)))</f>
      </c>
      <c r="E213" s="61" t="str">
        <f>IF($J213=0,"",IF(INDEX('Прайс и заказ'!F:F,$J213)="","",INDEX('Прайс и заказ'!F:F,$J213)))</f>
      </c>
      <c r="F213" s="62" t="str">
        <f>IF($J213=0,"",IF(INDEX('Прайс и заказ'!I:I,$J213)="","",INDEX('Прайс и заказ'!I:I,$J213)))</f>
      </c>
      <c r="G213" s="63" t="str">
        <f>IF($J213=0,"",IF(INDEX('Прайс и заказ'!K:K,$J213)="","",INDEX('Прайс и заказ'!K:K,$J213)))</f>
      </c>
      <c r="H213" s="62" t="str">
        <f>IF($J213=0,"",IF(INDEX('Прайс и заказ'!L:L,$J213)="","",INDEX('Прайс и заказ'!L:L,$J213)))</f>
      </c>
      <c r="I213" s="13" t="str">
        <f>IF($J213=0,"",IF(INDEX('Прайс и заказ'!M:M,$J213)="","",INDEX('Прайс и заказ'!M:M,$J213)))</f>
      </c>
      <c r="J213" t="str">
        <f>IFERROR(MATCH(205,'Прайс и заказ'!$N$7:$N$435,0)+6,0)</f>
      </c>
    </row>
    <row r="214" spans="1:11" customHeight="1" ht="40">
      <c r="A214" s="13" t="str">
        <f>IF($J214=0,"",IFERROR(_xlfn.IMAGE(INDEX('Прайс и заказ'!$O:$O,$J214)),""))</f>
      </c>
      <c r="B214" s="61" t="str">
        <f>IF($J214=0,"",IF(INDEX('Прайс и заказ'!B:B,$J214)="","",INDEX('Прайс и заказ'!B:B,$J214)))</f>
      </c>
      <c r="C214" s="64" t="str">
        <f>IF($J214=0,"",IF(INDEX('Прайс и заказ'!C:C,$J214)="","",INDEX('Прайс и заказ'!C:C,$J214)))</f>
      </c>
      <c r="D214" s="64" t="str">
        <f>IF($J214=0,"",IF(INDEX('Прайс и заказ'!D:D,$J214)="","",INDEX('Прайс и заказ'!D:D,$J214)))</f>
      </c>
      <c r="E214" s="61" t="str">
        <f>IF($J214=0,"",IF(INDEX('Прайс и заказ'!F:F,$J214)="","",INDEX('Прайс и заказ'!F:F,$J214)))</f>
      </c>
      <c r="F214" s="62" t="str">
        <f>IF($J214=0,"",IF(INDEX('Прайс и заказ'!I:I,$J214)="","",INDEX('Прайс и заказ'!I:I,$J214)))</f>
      </c>
      <c r="G214" s="63" t="str">
        <f>IF($J214=0,"",IF(INDEX('Прайс и заказ'!K:K,$J214)="","",INDEX('Прайс и заказ'!K:K,$J214)))</f>
      </c>
      <c r="H214" s="62" t="str">
        <f>IF($J214=0,"",IF(INDEX('Прайс и заказ'!L:L,$J214)="","",INDEX('Прайс и заказ'!L:L,$J214)))</f>
      </c>
      <c r="I214" s="13" t="str">
        <f>IF($J214=0,"",IF(INDEX('Прайс и заказ'!M:M,$J214)="","",INDEX('Прайс и заказ'!M:M,$J214)))</f>
      </c>
      <c r="J214" t="str">
        <f>IFERROR(MATCH(206,'Прайс и заказ'!$N$7:$N$435,0)+6,0)</f>
      </c>
    </row>
    <row r="215" spans="1:11" customHeight="1" ht="40">
      <c r="A215" s="13" t="str">
        <f>IF($J215=0,"",IFERROR(_xlfn.IMAGE(INDEX('Прайс и заказ'!$O:$O,$J215)),""))</f>
      </c>
      <c r="B215" s="61" t="str">
        <f>IF($J215=0,"",IF(INDEX('Прайс и заказ'!B:B,$J215)="","",INDEX('Прайс и заказ'!B:B,$J215)))</f>
      </c>
      <c r="C215" s="64" t="str">
        <f>IF($J215=0,"",IF(INDEX('Прайс и заказ'!C:C,$J215)="","",INDEX('Прайс и заказ'!C:C,$J215)))</f>
      </c>
      <c r="D215" s="64" t="str">
        <f>IF($J215=0,"",IF(INDEX('Прайс и заказ'!D:D,$J215)="","",INDEX('Прайс и заказ'!D:D,$J215)))</f>
      </c>
      <c r="E215" s="61" t="str">
        <f>IF($J215=0,"",IF(INDEX('Прайс и заказ'!F:F,$J215)="","",INDEX('Прайс и заказ'!F:F,$J215)))</f>
      </c>
      <c r="F215" s="62" t="str">
        <f>IF($J215=0,"",IF(INDEX('Прайс и заказ'!I:I,$J215)="","",INDEX('Прайс и заказ'!I:I,$J215)))</f>
      </c>
      <c r="G215" s="63" t="str">
        <f>IF($J215=0,"",IF(INDEX('Прайс и заказ'!K:K,$J215)="","",INDEX('Прайс и заказ'!K:K,$J215)))</f>
      </c>
      <c r="H215" s="62" t="str">
        <f>IF($J215=0,"",IF(INDEX('Прайс и заказ'!L:L,$J215)="","",INDEX('Прайс и заказ'!L:L,$J215)))</f>
      </c>
      <c r="I215" s="13" t="str">
        <f>IF($J215=0,"",IF(INDEX('Прайс и заказ'!M:M,$J215)="","",INDEX('Прайс и заказ'!M:M,$J215)))</f>
      </c>
      <c r="J215" t="str">
        <f>IFERROR(MATCH(207,'Прайс и заказ'!$N$7:$N$435,0)+6,0)</f>
      </c>
    </row>
    <row r="216" spans="1:11" customHeight="1" ht="40">
      <c r="A216" s="13" t="str">
        <f>IF($J216=0,"",IFERROR(_xlfn.IMAGE(INDEX('Прайс и заказ'!$O:$O,$J216)),""))</f>
      </c>
      <c r="B216" s="61" t="str">
        <f>IF($J216=0,"",IF(INDEX('Прайс и заказ'!B:B,$J216)="","",INDEX('Прайс и заказ'!B:B,$J216)))</f>
      </c>
      <c r="C216" s="64" t="str">
        <f>IF($J216=0,"",IF(INDEX('Прайс и заказ'!C:C,$J216)="","",INDEX('Прайс и заказ'!C:C,$J216)))</f>
      </c>
      <c r="D216" s="64" t="str">
        <f>IF($J216=0,"",IF(INDEX('Прайс и заказ'!D:D,$J216)="","",INDEX('Прайс и заказ'!D:D,$J216)))</f>
      </c>
      <c r="E216" s="61" t="str">
        <f>IF($J216=0,"",IF(INDEX('Прайс и заказ'!F:F,$J216)="","",INDEX('Прайс и заказ'!F:F,$J216)))</f>
      </c>
      <c r="F216" s="62" t="str">
        <f>IF($J216=0,"",IF(INDEX('Прайс и заказ'!I:I,$J216)="","",INDEX('Прайс и заказ'!I:I,$J216)))</f>
      </c>
      <c r="G216" s="63" t="str">
        <f>IF($J216=0,"",IF(INDEX('Прайс и заказ'!K:K,$J216)="","",INDEX('Прайс и заказ'!K:K,$J216)))</f>
      </c>
      <c r="H216" s="62" t="str">
        <f>IF($J216=0,"",IF(INDEX('Прайс и заказ'!L:L,$J216)="","",INDEX('Прайс и заказ'!L:L,$J216)))</f>
      </c>
      <c r="I216" s="13" t="str">
        <f>IF($J216=0,"",IF(INDEX('Прайс и заказ'!M:M,$J216)="","",INDEX('Прайс и заказ'!M:M,$J216)))</f>
      </c>
      <c r="J216" t="str">
        <f>IFERROR(MATCH(208,'Прайс и заказ'!$N$7:$N$435,0)+6,0)</f>
      </c>
    </row>
    <row r="217" spans="1:11" customHeight="1" ht="40">
      <c r="A217" s="13" t="str">
        <f>IF($J217=0,"",IFERROR(_xlfn.IMAGE(INDEX('Прайс и заказ'!$O:$O,$J217)),""))</f>
      </c>
      <c r="B217" s="61" t="str">
        <f>IF($J217=0,"",IF(INDEX('Прайс и заказ'!B:B,$J217)="","",INDEX('Прайс и заказ'!B:B,$J217)))</f>
      </c>
      <c r="C217" s="64" t="str">
        <f>IF($J217=0,"",IF(INDEX('Прайс и заказ'!C:C,$J217)="","",INDEX('Прайс и заказ'!C:C,$J217)))</f>
      </c>
      <c r="D217" s="64" t="str">
        <f>IF($J217=0,"",IF(INDEX('Прайс и заказ'!D:D,$J217)="","",INDEX('Прайс и заказ'!D:D,$J217)))</f>
      </c>
      <c r="E217" s="61" t="str">
        <f>IF($J217=0,"",IF(INDEX('Прайс и заказ'!F:F,$J217)="","",INDEX('Прайс и заказ'!F:F,$J217)))</f>
      </c>
      <c r="F217" s="62" t="str">
        <f>IF($J217=0,"",IF(INDEX('Прайс и заказ'!I:I,$J217)="","",INDEX('Прайс и заказ'!I:I,$J217)))</f>
      </c>
      <c r="G217" s="63" t="str">
        <f>IF($J217=0,"",IF(INDEX('Прайс и заказ'!K:K,$J217)="","",INDEX('Прайс и заказ'!K:K,$J217)))</f>
      </c>
      <c r="H217" s="62" t="str">
        <f>IF($J217=0,"",IF(INDEX('Прайс и заказ'!L:L,$J217)="","",INDEX('Прайс и заказ'!L:L,$J217)))</f>
      </c>
      <c r="I217" s="13" t="str">
        <f>IF($J217=0,"",IF(INDEX('Прайс и заказ'!M:M,$J217)="","",INDEX('Прайс и заказ'!M:M,$J217)))</f>
      </c>
      <c r="J217" t="str">
        <f>IFERROR(MATCH(209,'Прайс и заказ'!$N$7:$N$435,0)+6,0)</f>
      </c>
    </row>
    <row r="218" spans="1:11" customHeight="1" ht="40">
      <c r="A218" s="13" t="str">
        <f>IF($J218=0,"",IFERROR(_xlfn.IMAGE(INDEX('Прайс и заказ'!$O:$O,$J218)),""))</f>
      </c>
      <c r="B218" s="61" t="str">
        <f>IF($J218=0,"",IF(INDEX('Прайс и заказ'!B:B,$J218)="","",INDEX('Прайс и заказ'!B:B,$J218)))</f>
      </c>
      <c r="C218" s="64" t="str">
        <f>IF($J218=0,"",IF(INDEX('Прайс и заказ'!C:C,$J218)="","",INDEX('Прайс и заказ'!C:C,$J218)))</f>
      </c>
      <c r="D218" s="64" t="str">
        <f>IF($J218=0,"",IF(INDEX('Прайс и заказ'!D:D,$J218)="","",INDEX('Прайс и заказ'!D:D,$J218)))</f>
      </c>
      <c r="E218" s="61" t="str">
        <f>IF($J218=0,"",IF(INDEX('Прайс и заказ'!F:F,$J218)="","",INDEX('Прайс и заказ'!F:F,$J218)))</f>
      </c>
      <c r="F218" s="62" t="str">
        <f>IF($J218=0,"",IF(INDEX('Прайс и заказ'!I:I,$J218)="","",INDEX('Прайс и заказ'!I:I,$J218)))</f>
      </c>
      <c r="G218" s="63" t="str">
        <f>IF($J218=0,"",IF(INDEX('Прайс и заказ'!K:K,$J218)="","",INDEX('Прайс и заказ'!K:K,$J218)))</f>
      </c>
      <c r="H218" s="62" t="str">
        <f>IF($J218=0,"",IF(INDEX('Прайс и заказ'!L:L,$J218)="","",INDEX('Прайс и заказ'!L:L,$J218)))</f>
      </c>
      <c r="I218" s="13" t="str">
        <f>IF($J218=0,"",IF(INDEX('Прайс и заказ'!M:M,$J218)="","",INDEX('Прайс и заказ'!M:M,$J218)))</f>
      </c>
      <c r="J218" t="str">
        <f>IFERROR(MATCH(210,'Прайс и заказ'!$N$7:$N$435,0)+6,0)</f>
      </c>
    </row>
    <row r="219" spans="1:11" customHeight="1" ht="40">
      <c r="A219" s="13" t="str">
        <f>IF($J219=0,"",IFERROR(_xlfn.IMAGE(INDEX('Прайс и заказ'!$O:$O,$J219)),""))</f>
      </c>
      <c r="B219" s="61" t="str">
        <f>IF($J219=0,"",IF(INDEX('Прайс и заказ'!B:B,$J219)="","",INDEX('Прайс и заказ'!B:B,$J219)))</f>
      </c>
      <c r="C219" s="64" t="str">
        <f>IF($J219=0,"",IF(INDEX('Прайс и заказ'!C:C,$J219)="","",INDEX('Прайс и заказ'!C:C,$J219)))</f>
      </c>
      <c r="D219" s="64" t="str">
        <f>IF($J219=0,"",IF(INDEX('Прайс и заказ'!D:D,$J219)="","",INDEX('Прайс и заказ'!D:D,$J219)))</f>
      </c>
      <c r="E219" s="61" t="str">
        <f>IF($J219=0,"",IF(INDEX('Прайс и заказ'!F:F,$J219)="","",INDEX('Прайс и заказ'!F:F,$J219)))</f>
      </c>
      <c r="F219" s="62" t="str">
        <f>IF($J219=0,"",IF(INDEX('Прайс и заказ'!I:I,$J219)="","",INDEX('Прайс и заказ'!I:I,$J219)))</f>
      </c>
      <c r="G219" s="63" t="str">
        <f>IF($J219=0,"",IF(INDEX('Прайс и заказ'!K:K,$J219)="","",INDEX('Прайс и заказ'!K:K,$J219)))</f>
      </c>
      <c r="H219" s="62" t="str">
        <f>IF($J219=0,"",IF(INDEX('Прайс и заказ'!L:L,$J219)="","",INDEX('Прайс и заказ'!L:L,$J219)))</f>
      </c>
      <c r="I219" s="13" t="str">
        <f>IF($J219=0,"",IF(INDEX('Прайс и заказ'!M:M,$J219)="","",INDEX('Прайс и заказ'!M:M,$J219)))</f>
      </c>
      <c r="J219" t="str">
        <f>IFERROR(MATCH(211,'Прайс и заказ'!$N$7:$N$435,0)+6,0)</f>
      </c>
    </row>
    <row r="220" spans="1:11" customHeight="1" ht="40">
      <c r="A220" s="13" t="str">
        <f>IF($J220=0,"",IFERROR(_xlfn.IMAGE(INDEX('Прайс и заказ'!$O:$O,$J220)),""))</f>
      </c>
      <c r="B220" s="61" t="str">
        <f>IF($J220=0,"",IF(INDEX('Прайс и заказ'!B:B,$J220)="","",INDEX('Прайс и заказ'!B:B,$J220)))</f>
      </c>
      <c r="C220" s="64" t="str">
        <f>IF($J220=0,"",IF(INDEX('Прайс и заказ'!C:C,$J220)="","",INDEX('Прайс и заказ'!C:C,$J220)))</f>
      </c>
      <c r="D220" s="64" t="str">
        <f>IF($J220=0,"",IF(INDEX('Прайс и заказ'!D:D,$J220)="","",INDEX('Прайс и заказ'!D:D,$J220)))</f>
      </c>
      <c r="E220" s="61" t="str">
        <f>IF($J220=0,"",IF(INDEX('Прайс и заказ'!F:F,$J220)="","",INDEX('Прайс и заказ'!F:F,$J220)))</f>
      </c>
      <c r="F220" s="62" t="str">
        <f>IF($J220=0,"",IF(INDEX('Прайс и заказ'!I:I,$J220)="","",INDEX('Прайс и заказ'!I:I,$J220)))</f>
      </c>
      <c r="G220" s="63" t="str">
        <f>IF($J220=0,"",IF(INDEX('Прайс и заказ'!K:K,$J220)="","",INDEX('Прайс и заказ'!K:K,$J220)))</f>
      </c>
      <c r="H220" s="62" t="str">
        <f>IF($J220=0,"",IF(INDEX('Прайс и заказ'!L:L,$J220)="","",INDEX('Прайс и заказ'!L:L,$J220)))</f>
      </c>
      <c r="I220" s="13" t="str">
        <f>IF($J220=0,"",IF(INDEX('Прайс и заказ'!M:M,$J220)="","",INDEX('Прайс и заказ'!M:M,$J220)))</f>
      </c>
      <c r="J220" t="str">
        <f>IFERROR(MATCH(212,'Прайс и заказ'!$N$7:$N$435,0)+6,0)</f>
      </c>
    </row>
    <row r="221" spans="1:11" customHeight="1" ht="40">
      <c r="A221" s="13" t="str">
        <f>IF($J221=0,"",IFERROR(_xlfn.IMAGE(INDEX('Прайс и заказ'!$O:$O,$J221)),""))</f>
      </c>
      <c r="B221" s="61" t="str">
        <f>IF($J221=0,"",IF(INDEX('Прайс и заказ'!B:B,$J221)="","",INDEX('Прайс и заказ'!B:B,$J221)))</f>
      </c>
      <c r="C221" s="64" t="str">
        <f>IF($J221=0,"",IF(INDEX('Прайс и заказ'!C:C,$J221)="","",INDEX('Прайс и заказ'!C:C,$J221)))</f>
      </c>
      <c r="D221" s="64" t="str">
        <f>IF($J221=0,"",IF(INDEX('Прайс и заказ'!D:D,$J221)="","",INDEX('Прайс и заказ'!D:D,$J221)))</f>
      </c>
      <c r="E221" s="61" t="str">
        <f>IF($J221=0,"",IF(INDEX('Прайс и заказ'!F:F,$J221)="","",INDEX('Прайс и заказ'!F:F,$J221)))</f>
      </c>
      <c r="F221" s="62" t="str">
        <f>IF($J221=0,"",IF(INDEX('Прайс и заказ'!I:I,$J221)="","",INDEX('Прайс и заказ'!I:I,$J221)))</f>
      </c>
      <c r="G221" s="63" t="str">
        <f>IF($J221=0,"",IF(INDEX('Прайс и заказ'!K:K,$J221)="","",INDEX('Прайс и заказ'!K:K,$J221)))</f>
      </c>
      <c r="H221" s="62" t="str">
        <f>IF($J221=0,"",IF(INDEX('Прайс и заказ'!L:L,$J221)="","",INDEX('Прайс и заказ'!L:L,$J221)))</f>
      </c>
      <c r="I221" s="13" t="str">
        <f>IF($J221=0,"",IF(INDEX('Прайс и заказ'!M:M,$J221)="","",INDEX('Прайс и заказ'!M:M,$J221)))</f>
      </c>
      <c r="J221" t="str">
        <f>IFERROR(MATCH(213,'Прайс и заказ'!$N$7:$N$435,0)+6,0)</f>
      </c>
    </row>
    <row r="222" spans="1:11" customHeight="1" ht="40">
      <c r="A222" s="13" t="str">
        <f>IF($J222=0,"",IFERROR(_xlfn.IMAGE(INDEX('Прайс и заказ'!$O:$O,$J222)),""))</f>
      </c>
      <c r="B222" s="61" t="str">
        <f>IF($J222=0,"",IF(INDEX('Прайс и заказ'!B:B,$J222)="","",INDEX('Прайс и заказ'!B:B,$J222)))</f>
      </c>
      <c r="C222" s="64" t="str">
        <f>IF($J222=0,"",IF(INDEX('Прайс и заказ'!C:C,$J222)="","",INDEX('Прайс и заказ'!C:C,$J222)))</f>
      </c>
      <c r="D222" s="64" t="str">
        <f>IF($J222=0,"",IF(INDEX('Прайс и заказ'!D:D,$J222)="","",INDEX('Прайс и заказ'!D:D,$J222)))</f>
      </c>
      <c r="E222" s="61" t="str">
        <f>IF($J222=0,"",IF(INDEX('Прайс и заказ'!F:F,$J222)="","",INDEX('Прайс и заказ'!F:F,$J222)))</f>
      </c>
      <c r="F222" s="62" t="str">
        <f>IF($J222=0,"",IF(INDEX('Прайс и заказ'!I:I,$J222)="","",INDEX('Прайс и заказ'!I:I,$J222)))</f>
      </c>
      <c r="G222" s="63" t="str">
        <f>IF($J222=0,"",IF(INDEX('Прайс и заказ'!K:K,$J222)="","",INDEX('Прайс и заказ'!K:K,$J222)))</f>
      </c>
      <c r="H222" s="62" t="str">
        <f>IF($J222=0,"",IF(INDEX('Прайс и заказ'!L:L,$J222)="","",INDEX('Прайс и заказ'!L:L,$J222)))</f>
      </c>
      <c r="I222" s="13" t="str">
        <f>IF($J222=0,"",IF(INDEX('Прайс и заказ'!M:M,$J222)="","",INDEX('Прайс и заказ'!M:M,$J222)))</f>
      </c>
      <c r="J222" t="str">
        <f>IFERROR(MATCH(214,'Прайс и заказ'!$N$7:$N$435,0)+6,0)</f>
      </c>
    </row>
    <row r="223" spans="1:11" customHeight="1" ht="40">
      <c r="A223" s="13" t="str">
        <f>IF($J223=0,"",IFERROR(_xlfn.IMAGE(INDEX('Прайс и заказ'!$O:$O,$J223)),""))</f>
      </c>
      <c r="B223" s="61" t="str">
        <f>IF($J223=0,"",IF(INDEX('Прайс и заказ'!B:B,$J223)="","",INDEX('Прайс и заказ'!B:B,$J223)))</f>
      </c>
      <c r="C223" s="64" t="str">
        <f>IF($J223=0,"",IF(INDEX('Прайс и заказ'!C:C,$J223)="","",INDEX('Прайс и заказ'!C:C,$J223)))</f>
      </c>
      <c r="D223" s="64" t="str">
        <f>IF($J223=0,"",IF(INDEX('Прайс и заказ'!D:D,$J223)="","",INDEX('Прайс и заказ'!D:D,$J223)))</f>
      </c>
      <c r="E223" s="61" t="str">
        <f>IF($J223=0,"",IF(INDEX('Прайс и заказ'!F:F,$J223)="","",INDEX('Прайс и заказ'!F:F,$J223)))</f>
      </c>
      <c r="F223" s="62" t="str">
        <f>IF($J223=0,"",IF(INDEX('Прайс и заказ'!I:I,$J223)="","",INDEX('Прайс и заказ'!I:I,$J223)))</f>
      </c>
      <c r="G223" s="63" t="str">
        <f>IF($J223=0,"",IF(INDEX('Прайс и заказ'!K:K,$J223)="","",INDEX('Прайс и заказ'!K:K,$J223)))</f>
      </c>
      <c r="H223" s="62" t="str">
        <f>IF($J223=0,"",IF(INDEX('Прайс и заказ'!L:L,$J223)="","",INDEX('Прайс и заказ'!L:L,$J223)))</f>
      </c>
      <c r="I223" s="13" t="str">
        <f>IF($J223=0,"",IF(INDEX('Прайс и заказ'!M:M,$J223)="","",INDEX('Прайс и заказ'!M:M,$J223)))</f>
      </c>
      <c r="J223" t="str">
        <f>IFERROR(MATCH(215,'Прайс и заказ'!$N$7:$N$435,0)+6,0)</f>
      </c>
    </row>
    <row r="224" spans="1:11" customHeight="1" ht="40">
      <c r="A224" s="13" t="str">
        <f>IF($J224=0,"",IFERROR(_xlfn.IMAGE(INDEX('Прайс и заказ'!$O:$O,$J224)),""))</f>
      </c>
      <c r="B224" s="61" t="str">
        <f>IF($J224=0,"",IF(INDEX('Прайс и заказ'!B:B,$J224)="","",INDEX('Прайс и заказ'!B:B,$J224)))</f>
      </c>
      <c r="C224" s="64" t="str">
        <f>IF($J224=0,"",IF(INDEX('Прайс и заказ'!C:C,$J224)="","",INDEX('Прайс и заказ'!C:C,$J224)))</f>
      </c>
      <c r="D224" s="64" t="str">
        <f>IF($J224=0,"",IF(INDEX('Прайс и заказ'!D:D,$J224)="","",INDEX('Прайс и заказ'!D:D,$J224)))</f>
      </c>
      <c r="E224" s="61" t="str">
        <f>IF($J224=0,"",IF(INDEX('Прайс и заказ'!F:F,$J224)="","",INDEX('Прайс и заказ'!F:F,$J224)))</f>
      </c>
      <c r="F224" s="62" t="str">
        <f>IF($J224=0,"",IF(INDEX('Прайс и заказ'!I:I,$J224)="","",INDEX('Прайс и заказ'!I:I,$J224)))</f>
      </c>
      <c r="G224" s="63" t="str">
        <f>IF($J224=0,"",IF(INDEX('Прайс и заказ'!K:K,$J224)="","",INDEX('Прайс и заказ'!K:K,$J224)))</f>
      </c>
      <c r="H224" s="62" t="str">
        <f>IF($J224=0,"",IF(INDEX('Прайс и заказ'!L:L,$J224)="","",INDEX('Прайс и заказ'!L:L,$J224)))</f>
      </c>
      <c r="I224" s="13" t="str">
        <f>IF($J224=0,"",IF(INDEX('Прайс и заказ'!M:M,$J224)="","",INDEX('Прайс и заказ'!M:M,$J224)))</f>
      </c>
      <c r="J224" t="str">
        <f>IFERROR(MATCH(216,'Прайс и заказ'!$N$7:$N$435,0)+6,0)</f>
      </c>
    </row>
    <row r="225" spans="1:11" customHeight="1" ht="40">
      <c r="A225" s="13" t="str">
        <f>IF($J225=0,"",IFERROR(_xlfn.IMAGE(INDEX('Прайс и заказ'!$O:$O,$J225)),""))</f>
      </c>
      <c r="B225" s="61" t="str">
        <f>IF($J225=0,"",IF(INDEX('Прайс и заказ'!B:B,$J225)="","",INDEX('Прайс и заказ'!B:B,$J225)))</f>
      </c>
      <c r="C225" s="64" t="str">
        <f>IF($J225=0,"",IF(INDEX('Прайс и заказ'!C:C,$J225)="","",INDEX('Прайс и заказ'!C:C,$J225)))</f>
      </c>
      <c r="D225" s="64" t="str">
        <f>IF($J225=0,"",IF(INDEX('Прайс и заказ'!D:D,$J225)="","",INDEX('Прайс и заказ'!D:D,$J225)))</f>
      </c>
      <c r="E225" s="61" t="str">
        <f>IF($J225=0,"",IF(INDEX('Прайс и заказ'!F:F,$J225)="","",INDEX('Прайс и заказ'!F:F,$J225)))</f>
      </c>
      <c r="F225" s="62" t="str">
        <f>IF($J225=0,"",IF(INDEX('Прайс и заказ'!I:I,$J225)="","",INDEX('Прайс и заказ'!I:I,$J225)))</f>
      </c>
      <c r="G225" s="63" t="str">
        <f>IF($J225=0,"",IF(INDEX('Прайс и заказ'!K:K,$J225)="","",INDEX('Прайс и заказ'!K:K,$J225)))</f>
      </c>
      <c r="H225" s="62" t="str">
        <f>IF($J225=0,"",IF(INDEX('Прайс и заказ'!L:L,$J225)="","",INDEX('Прайс и заказ'!L:L,$J225)))</f>
      </c>
      <c r="I225" s="13" t="str">
        <f>IF($J225=0,"",IF(INDEX('Прайс и заказ'!M:M,$J225)="","",INDEX('Прайс и заказ'!M:M,$J225)))</f>
      </c>
      <c r="J225" t="str">
        <f>IFERROR(MATCH(217,'Прайс и заказ'!$N$7:$N$435,0)+6,0)</f>
      </c>
    </row>
    <row r="226" spans="1:11" customHeight="1" ht="40">
      <c r="A226" s="13" t="str">
        <f>IF($J226=0,"",IFERROR(_xlfn.IMAGE(INDEX('Прайс и заказ'!$O:$O,$J226)),""))</f>
      </c>
      <c r="B226" s="61" t="str">
        <f>IF($J226=0,"",IF(INDEX('Прайс и заказ'!B:B,$J226)="","",INDEX('Прайс и заказ'!B:B,$J226)))</f>
      </c>
      <c r="C226" s="64" t="str">
        <f>IF($J226=0,"",IF(INDEX('Прайс и заказ'!C:C,$J226)="","",INDEX('Прайс и заказ'!C:C,$J226)))</f>
      </c>
      <c r="D226" s="64" t="str">
        <f>IF($J226=0,"",IF(INDEX('Прайс и заказ'!D:D,$J226)="","",INDEX('Прайс и заказ'!D:D,$J226)))</f>
      </c>
      <c r="E226" s="61" t="str">
        <f>IF($J226=0,"",IF(INDEX('Прайс и заказ'!F:F,$J226)="","",INDEX('Прайс и заказ'!F:F,$J226)))</f>
      </c>
      <c r="F226" s="62" t="str">
        <f>IF($J226=0,"",IF(INDEX('Прайс и заказ'!I:I,$J226)="","",INDEX('Прайс и заказ'!I:I,$J226)))</f>
      </c>
      <c r="G226" s="63" t="str">
        <f>IF($J226=0,"",IF(INDEX('Прайс и заказ'!K:K,$J226)="","",INDEX('Прайс и заказ'!K:K,$J226)))</f>
      </c>
      <c r="H226" s="62" t="str">
        <f>IF($J226=0,"",IF(INDEX('Прайс и заказ'!L:L,$J226)="","",INDEX('Прайс и заказ'!L:L,$J226)))</f>
      </c>
      <c r="I226" s="13" t="str">
        <f>IF($J226=0,"",IF(INDEX('Прайс и заказ'!M:M,$J226)="","",INDEX('Прайс и заказ'!M:M,$J226)))</f>
      </c>
      <c r="J226" t="str">
        <f>IFERROR(MATCH(218,'Прайс и заказ'!$N$7:$N$435,0)+6,0)</f>
      </c>
    </row>
    <row r="227" spans="1:11" customHeight="1" ht="40">
      <c r="A227" s="13" t="str">
        <f>IF($J227=0,"",IFERROR(_xlfn.IMAGE(INDEX('Прайс и заказ'!$O:$O,$J227)),""))</f>
      </c>
      <c r="B227" s="61" t="str">
        <f>IF($J227=0,"",IF(INDEX('Прайс и заказ'!B:B,$J227)="","",INDEX('Прайс и заказ'!B:B,$J227)))</f>
      </c>
      <c r="C227" s="64" t="str">
        <f>IF($J227=0,"",IF(INDEX('Прайс и заказ'!C:C,$J227)="","",INDEX('Прайс и заказ'!C:C,$J227)))</f>
      </c>
      <c r="D227" s="64" t="str">
        <f>IF($J227=0,"",IF(INDEX('Прайс и заказ'!D:D,$J227)="","",INDEX('Прайс и заказ'!D:D,$J227)))</f>
      </c>
      <c r="E227" s="61" t="str">
        <f>IF($J227=0,"",IF(INDEX('Прайс и заказ'!F:F,$J227)="","",INDEX('Прайс и заказ'!F:F,$J227)))</f>
      </c>
      <c r="F227" s="62" t="str">
        <f>IF($J227=0,"",IF(INDEX('Прайс и заказ'!I:I,$J227)="","",INDEX('Прайс и заказ'!I:I,$J227)))</f>
      </c>
      <c r="G227" s="63" t="str">
        <f>IF($J227=0,"",IF(INDEX('Прайс и заказ'!K:K,$J227)="","",INDEX('Прайс и заказ'!K:K,$J227)))</f>
      </c>
      <c r="H227" s="62" t="str">
        <f>IF($J227=0,"",IF(INDEX('Прайс и заказ'!L:L,$J227)="","",INDEX('Прайс и заказ'!L:L,$J227)))</f>
      </c>
      <c r="I227" s="13" t="str">
        <f>IF($J227=0,"",IF(INDEX('Прайс и заказ'!M:M,$J227)="","",INDEX('Прайс и заказ'!M:M,$J227)))</f>
      </c>
      <c r="J227" t="str">
        <f>IFERROR(MATCH(219,'Прайс и заказ'!$N$7:$N$435,0)+6,0)</f>
      </c>
    </row>
    <row r="228" spans="1:11" customHeight="1" ht="40">
      <c r="A228" s="13" t="str">
        <f>IF($J228=0,"",IFERROR(_xlfn.IMAGE(INDEX('Прайс и заказ'!$O:$O,$J228)),""))</f>
      </c>
      <c r="B228" s="61" t="str">
        <f>IF($J228=0,"",IF(INDEX('Прайс и заказ'!B:B,$J228)="","",INDEX('Прайс и заказ'!B:B,$J228)))</f>
      </c>
      <c r="C228" s="64" t="str">
        <f>IF($J228=0,"",IF(INDEX('Прайс и заказ'!C:C,$J228)="","",INDEX('Прайс и заказ'!C:C,$J228)))</f>
      </c>
      <c r="D228" s="64" t="str">
        <f>IF($J228=0,"",IF(INDEX('Прайс и заказ'!D:D,$J228)="","",INDEX('Прайс и заказ'!D:D,$J228)))</f>
      </c>
      <c r="E228" s="61" t="str">
        <f>IF($J228=0,"",IF(INDEX('Прайс и заказ'!F:F,$J228)="","",INDEX('Прайс и заказ'!F:F,$J228)))</f>
      </c>
      <c r="F228" s="62" t="str">
        <f>IF($J228=0,"",IF(INDEX('Прайс и заказ'!I:I,$J228)="","",INDEX('Прайс и заказ'!I:I,$J228)))</f>
      </c>
      <c r="G228" s="63" t="str">
        <f>IF($J228=0,"",IF(INDEX('Прайс и заказ'!K:K,$J228)="","",INDEX('Прайс и заказ'!K:K,$J228)))</f>
      </c>
      <c r="H228" s="62" t="str">
        <f>IF($J228=0,"",IF(INDEX('Прайс и заказ'!L:L,$J228)="","",INDEX('Прайс и заказ'!L:L,$J228)))</f>
      </c>
      <c r="I228" s="13" t="str">
        <f>IF($J228=0,"",IF(INDEX('Прайс и заказ'!M:M,$J228)="","",INDEX('Прайс и заказ'!M:M,$J228)))</f>
      </c>
      <c r="J228" t="str">
        <f>IFERROR(MATCH(220,'Прайс и заказ'!$N$7:$N$435,0)+6,0)</f>
      </c>
    </row>
    <row r="229" spans="1:11" customHeight="1" ht="40">
      <c r="A229" s="13" t="str">
        <f>IF($J229=0,"",IFERROR(_xlfn.IMAGE(INDEX('Прайс и заказ'!$O:$O,$J229)),""))</f>
      </c>
      <c r="B229" s="61" t="str">
        <f>IF($J229=0,"",IF(INDEX('Прайс и заказ'!B:B,$J229)="","",INDEX('Прайс и заказ'!B:B,$J229)))</f>
      </c>
      <c r="C229" s="64" t="str">
        <f>IF($J229=0,"",IF(INDEX('Прайс и заказ'!C:C,$J229)="","",INDEX('Прайс и заказ'!C:C,$J229)))</f>
      </c>
      <c r="D229" s="64" t="str">
        <f>IF($J229=0,"",IF(INDEX('Прайс и заказ'!D:D,$J229)="","",INDEX('Прайс и заказ'!D:D,$J229)))</f>
      </c>
      <c r="E229" s="61" t="str">
        <f>IF($J229=0,"",IF(INDEX('Прайс и заказ'!F:F,$J229)="","",INDEX('Прайс и заказ'!F:F,$J229)))</f>
      </c>
      <c r="F229" s="62" t="str">
        <f>IF($J229=0,"",IF(INDEX('Прайс и заказ'!I:I,$J229)="","",INDEX('Прайс и заказ'!I:I,$J229)))</f>
      </c>
      <c r="G229" s="63" t="str">
        <f>IF($J229=0,"",IF(INDEX('Прайс и заказ'!K:K,$J229)="","",INDEX('Прайс и заказ'!K:K,$J229)))</f>
      </c>
      <c r="H229" s="62" t="str">
        <f>IF($J229=0,"",IF(INDEX('Прайс и заказ'!L:L,$J229)="","",INDEX('Прайс и заказ'!L:L,$J229)))</f>
      </c>
      <c r="I229" s="13" t="str">
        <f>IF($J229=0,"",IF(INDEX('Прайс и заказ'!M:M,$J229)="","",INDEX('Прайс и заказ'!M:M,$J229)))</f>
      </c>
      <c r="J229" t="str">
        <f>IFERROR(MATCH(221,'Прайс и заказ'!$N$7:$N$435,0)+6,0)</f>
      </c>
    </row>
    <row r="230" spans="1:11" customHeight="1" ht="40">
      <c r="A230" s="13" t="str">
        <f>IF($J230=0,"",IFERROR(_xlfn.IMAGE(INDEX('Прайс и заказ'!$O:$O,$J230)),""))</f>
      </c>
      <c r="B230" s="61" t="str">
        <f>IF($J230=0,"",IF(INDEX('Прайс и заказ'!B:B,$J230)="","",INDEX('Прайс и заказ'!B:B,$J230)))</f>
      </c>
      <c r="C230" s="64" t="str">
        <f>IF($J230=0,"",IF(INDEX('Прайс и заказ'!C:C,$J230)="","",INDEX('Прайс и заказ'!C:C,$J230)))</f>
      </c>
      <c r="D230" s="64" t="str">
        <f>IF($J230=0,"",IF(INDEX('Прайс и заказ'!D:D,$J230)="","",INDEX('Прайс и заказ'!D:D,$J230)))</f>
      </c>
      <c r="E230" s="61" t="str">
        <f>IF($J230=0,"",IF(INDEX('Прайс и заказ'!F:F,$J230)="","",INDEX('Прайс и заказ'!F:F,$J230)))</f>
      </c>
      <c r="F230" s="62" t="str">
        <f>IF($J230=0,"",IF(INDEX('Прайс и заказ'!I:I,$J230)="","",INDEX('Прайс и заказ'!I:I,$J230)))</f>
      </c>
      <c r="G230" s="63" t="str">
        <f>IF($J230=0,"",IF(INDEX('Прайс и заказ'!K:K,$J230)="","",INDEX('Прайс и заказ'!K:K,$J230)))</f>
      </c>
      <c r="H230" s="62" t="str">
        <f>IF($J230=0,"",IF(INDEX('Прайс и заказ'!L:L,$J230)="","",INDEX('Прайс и заказ'!L:L,$J230)))</f>
      </c>
      <c r="I230" s="13" t="str">
        <f>IF($J230=0,"",IF(INDEX('Прайс и заказ'!M:M,$J230)="","",INDEX('Прайс и заказ'!M:M,$J230)))</f>
      </c>
      <c r="J230" t="str">
        <f>IFERROR(MATCH(222,'Прайс и заказ'!$N$7:$N$435,0)+6,0)</f>
      </c>
    </row>
    <row r="231" spans="1:11" customHeight="1" ht="40">
      <c r="A231" s="13" t="str">
        <f>IF($J231=0,"",IFERROR(_xlfn.IMAGE(INDEX('Прайс и заказ'!$O:$O,$J231)),""))</f>
      </c>
      <c r="B231" s="61" t="str">
        <f>IF($J231=0,"",IF(INDEX('Прайс и заказ'!B:B,$J231)="","",INDEX('Прайс и заказ'!B:B,$J231)))</f>
      </c>
      <c r="C231" s="64" t="str">
        <f>IF($J231=0,"",IF(INDEX('Прайс и заказ'!C:C,$J231)="","",INDEX('Прайс и заказ'!C:C,$J231)))</f>
      </c>
      <c r="D231" s="64" t="str">
        <f>IF($J231=0,"",IF(INDEX('Прайс и заказ'!D:D,$J231)="","",INDEX('Прайс и заказ'!D:D,$J231)))</f>
      </c>
      <c r="E231" s="61" t="str">
        <f>IF($J231=0,"",IF(INDEX('Прайс и заказ'!F:F,$J231)="","",INDEX('Прайс и заказ'!F:F,$J231)))</f>
      </c>
      <c r="F231" s="62" t="str">
        <f>IF($J231=0,"",IF(INDEX('Прайс и заказ'!I:I,$J231)="","",INDEX('Прайс и заказ'!I:I,$J231)))</f>
      </c>
      <c r="G231" s="63" t="str">
        <f>IF($J231=0,"",IF(INDEX('Прайс и заказ'!K:K,$J231)="","",INDEX('Прайс и заказ'!K:K,$J231)))</f>
      </c>
      <c r="H231" s="62" t="str">
        <f>IF($J231=0,"",IF(INDEX('Прайс и заказ'!L:L,$J231)="","",INDEX('Прайс и заказ'!L:L,$J231)))</f>
      </c>
      <c r="I231" s="13" t="str">
        <f>IF($J231=0,"",IF(INDEX('Прайс и заказ'!M:M,$J231)="","",INDEX('Прайс и заказ'!M:M,$J231)))</f>
      </c>
      <c r="J231" t="str">
        <f>IFERROR(MATCH(223,'Прайс и заказ'!$N$7:$N$435,0)+6,0)</f>
      </c>
    </row>
    <row r="232" spans="1:11" customHeight="1" ht="40">
      <c r="A232" s="13" t="str">
        <f>IF($J232=0,"",IFERROR(_xlfn.IMAGE(INDEX('Прайс и заказ'!$O:$O,$J232)),""))</f>
      </c>
      <c r="B232" s="61" t="str">
        <f>IF($J232=0,"",IF(INDEX('Прайс и заказ'!B:B,$J232)="","",INDEX('Прайс и заказ'!B:B,$J232)))</f>
      </c>
      <c r="C232" s="64" t="str">
        <f>IF($J232=0,"",IF(INDEX('Прайс и заказ'!C:C,$J232)="","",INDEX('Прайс и заказ'!C:C,$J232)))</f>
      </c>
      <c r="D232" s="64" t="str">
        <f>IF($J232=0,"",IF(INDEX('Прайс и заказ'!D:D,$J232)="","",INDEX('Прайс и заказ'!D:D,$J232)))</f>
      </c>
      <c r="E232" s="61" t="str">
        <f>IF($J232=0,"",IF(INDEX('Прайс и заказ'!F:F,$J232)="","",INDEX('Прайс и заказ'!F:F,$J232)))</f>
      </c>
      <c r="F232" s="62" t="str">
        <f>IF($J232=0,"",IF(INDEX('Прайс и заказ'!I:I,$J232)="","",INDEX('Прайс и заказ'!I:I,$J232)))</f>
      </c>
      <c r="G232" s="63" t="str">
        <f>IF($J232=0,"",IF(INDEX('Прайс и заказ'!K:K,$J232)="","",INDEX('Прайс и заказ'!K:K,$J232)))</f>
      </c>
      <c r="H232" s="62" t="str">
        <f>IF($J232=0,"",IF(INDEX('Прайс и заказ'!L:L,$J232)="","",INDEX('Прайс и заказ'!L:L,$J232)))</f>
      </c>
      <c r="I232" s="13" t="str">
        <f>IF($J232=0,"",IF(INDEX('Прайс и заказ'!M:M,$J232)="","",INDEX('Прайс и заказ'!M:M,$J232)))</f>
      </c>
      <c r="J232" t="str">
        <f>IFERROR(MATCH(224,'Прайс и заказ'!$N$7:$N$435,0)+6,0)</f>
      </c>
    </row>
    <row r="233" spans="1:11" customHeight="1" ht="40">
      <c r="A233" s="13" t="str">
        <f>IF($J233=0,"",IFERROR(_xlfn.IMAGE(INDEX('Прайс и заказ'!$O:$O,$J233)),""))</f>
      </c>
      <c r="B233" s="61" t="str">
        <f>IF($J233=0,"",IF(INDEX('Прайс и заказ'!B:B,$J233)="","",INDEX('Прайс и заказ'!B:B,$J233)))</f>
      </c>
      <c r="C233" s="64" t="str">
        <f>IF($J233=0,"",IF(INDEX('Прайс и заказ'!C:C,$J233)="","",INDEX('Прайс и заказ'!C:C,$J233)))</f>
      </c>
      <c r="D233" s="64" t="str">
        <f>IF($J233=0,"",IF(INDEX('Прайс и заказ'!D:D,$J233)="","",INDEX('Прайс и заказ'!D:D,$J233)))</f>
      </c>
      <c r="E233" s="61" t="str">
        <f>IF($J233=0,"",IF(INDEX('Прайс и заказ'!F:F,$J233)="","",INDEX('Прайс и заказ'!F:F,$J233)))</f>
      </c>
      <c r="F233" s="62" t="str">
        <f>IF($J233=0,"",IF(INDEX('Прайс и заказ'!I:I,$J233)="","",INDEX('Прайс и заказ'!I:I,$J233)))</f>
      </c>
      <c r="G233" s="63" t="str">
        <f>IF($J233=0,"",IF(INDEX('Прайс и заказ'!K:K,$J233)="","",INDEX('Прайс и заказ'!K:K,$J233)))</f>
      </c>
      <c r="H233" s="62" t="str">
        <f>IF($J233=0,"",IF(INDEX('Прайс и заказ'!L:L,$J233)="","",INDEX('Прайс и заказ'!L:L,$J233)))</f>
      </c>
      <c r="I233" s="13" t="str">
        <f>IF($J233=0,"",IF(INDEX('Прайс и заказ'!M:M,$J233)="","",INDEX('Прайс и заказ'!M:M,$J233)))</f>
      </c>
      <c r="J233" t="str">
        <f>IFERROR(MATCH(225,'Прайс и заказ'!$N$7:$N$435,0)+6,0)</f>
      </c>
    </row>
    <row r="234" spans="1:11" customHeight="1" ht="40">
      <c r="A234" s="13" t="str">
        <f>IF($J234=0,"",IFERROR(_xlfn.IMAGE(INDEX('Прайс и заказ'!$O:$O,$J234)),""))</f>
      </c>
      <c r="B234" s="61" t="str">
        <f>IF($J234=0,"",IF(INDEX('Прайс и заказ'!B:B,$J234)="","",INDEX('Прайс и заказ'!B:B,$J234)))</f>
      </c>
      <c r="C234" s="64" t="str">
        <f>IF($J234=0,"",IF(INDEX('Прайс и заказ'!C:C,$J234)="","",INDEX('Прайс и заказ'!C:C,$J234)))</f>
      </c>
      <c r="D234" s="64" t="str">
        <f>IF($J234=0,"",IF(INDEX('Прайс и заказ'!D:D,$J234)="","",INDEX('Прайс и заказ'!D:D,$J234)))</f>
      </c>
      <c r="E234" s="61" t="str">
        <f>IF($J234=0,"",IF(INDEX('Прайс и заказ'!F:F,$J234)="","",INDEX('Прайс и заказ'!F:F,$J234)))</f>
      </c>
      <c r="F234" s="62" t="str">
        <f>IF($J234=0,"",IF(INDEX('Прайс и заказ'!I:I,$J234)="","",INDEX('Прайс и заказ'!I:I,$J234)))</f>
      </c>
      <c r="G234" s="63" t="str">
        <f>IF($J234=0,"",IF(INDEX('Прайс и заказ'!K:K,$J234)="","",INDEX('Прайс и заказ'!K:K,$J234)))</f>
      </c>
      <c r="H234" s="62" t="str">
        <f>IF($J234=0,"",IF(INDEX('Прайс и заказ'!L:L,$J234)="","",INDEX('Прайс и заказ'!L:L,$J234)))</f>
      </c>
      <c r="I234" s="13" t="str">
        <f>IF($J234=0,"",IF(INDEX('Прайс и заказ'!M:M,$J234)="","",INDEX('Прайс и заказ'!M:M,$J234)))</f>
      </c>
      <c r="J234" t="str">
        <f>IFERROR(MATCH(226,'Прайс и заказ'!$N$7:$N$435,0)+6,0)</f>
      </c>
    </row>
    <row r="235" spans="1:11" customHeight="1" ht="40">
      <c r="A235" s="13" t="str">
        <f>IF($J235=0,"",IFERROR(_xlfn.IMAGE(INDEX('Прайс и заказ'!$O:$O,$J235)),""))</f>
      </c>
      <c r="B235" s="61" t="str">
        <f>IF($J235=0,"",IF(INDEX('Прайс и заказ'!B:B,$J235)="","",INDEX('Прайс и заказ'!B:B,$J235)))</f>
      </c>
      <c r="C235" s="64" t="str">
        <f>IF($J235=0,"",IF(INDEX('Прайс и заказ'!C:C,$J235)="","",INDEX('Прайс и заказ'!C:C,$J235)))</f>
      </c>
      <c r="D235" s="64" t="str">
        <f>IF($J235=0,"",IF(INDEX('Прайс и заказ'!D:D,$J235)="","",INDEX('Прайс и заказ'!D:D,$J235)))</f>
      </c>
      <c r="E235" s="61" t="str">
        <f>IF($J235=0,"",IF(INDEX('Прайс и заказ'!F:F,$J235)="","",INDEX('Прайс и заказ'!F:F,$J235)))</f>
      </c>
      <c r="F235" s="62" t="str">
        <f>IF($J235=0,"",IF(INDEX('Прайс и заказ'!I:I,$J235)="","",INDEX('Прайс и заказ'!I:I,$J235)))</f>
      </c>
      <c r="G235" s="63" t="str">
        <f>IF($J235=0,"",IF(INDEX('Прайс и заказ'!K:K,$J235)="","",INDEX('Прайс и заказ'!K:K,$J235)))</f>
      </c>
      <c r="H235" s="62" t="str">
        <f>IF($J235=0,"",IF(INDEX('Прайс и заказ'!L:L,$J235)="","",INDEX('Прайс и заказ'!L:L,$J235)))</f>
      </c>
      <c r="I235" s="13" t="str">
        <f>IF($J235=0,"",IF(INDEX('Прайс и заказ'!M:M,$J235)="","",INDEX('Прайс и заказ'!M:M,$J235)))</f>
      </c>
      <c r="J235" t="str">
        <f>IFERROR(MATCH(227,'Прайс и заказ'!$N$7:$N$435,0)+6,0)</f>
      </c>
    </row>
    <row r="236" spans="1:11" customHeight="1" ht="40">
      <c r="A236" s="13" t="str">
        <f>IF($J236=0,"",IFERROR(_xlfn.IMAGE(INDEX('Прайс и заказ'!$O:$O,$J236)),""))</f>
      </c>
      <c r="B236" s="61" t="str">
        <f>IF($J236=0,"",IF(INDEX('Прайс и заказ'!B:B,$J236)="","",INDEX('Прайс и заказ'!B:B,$J236)))</f>
      </c>
      <c r="C236" s="64" t="str">
        <f>IF($J236=0,"",IF(INDEX('Прайс и заказ'!C:C,$J236)="","",INDEX('Прайс и заказ'!C:C,$J236)))</f>
      </c>
      <c r="D236" s="64" t="str">
        <f>IF($J236=0,"",IF(INDEX('Прайс и заказ'!D:D,$J236)="","",INDEX('Прайс и заказ'!D:D,$J236)))</f>
      </c>
      <c r="E236" s="61" t="str">
        <f>IF($J236=0,"",IF(INDEX('Прайс и заказ'!F:F,$J236)="","",INDEX('Прайс и заказ'!F:F,$J236)))</f>
      </c>
      <c r="F236" s="62" t="str">
        <f>IF($J236=0,"",IF(INDEX('Прайс и заказ'!I:I,$J236)="","",INDEX('Прайс и заказ'!I:I,$J236)))</f>
      </c>
      <c r="G236" s="63" t="str">
        <f>IF($J236=0,"",IF(INDEX('Прайс и заказ'!K:K,$J236)="","",INDEX('Прайс и заказ'!K:K,$J236)))</f>
      </c>
      <c r="H236" s="62" t="str">
        <f>IF($J236=0,"",IF(INDEX('Прайс и заказ'!L:L,$J236)="","",INDEX('Прайс и заказ'!L:L,$J236)))</f>
      </c>
      <c r="I236" s="13" t="str">
        <f>IF($J236=0,"",IF(INDEX('Прайс и заказ'!M:M,$J236)="","",INDEX('Прайс и заказ'!M:M,$J236)))</f>
      </c>
      <c r="J236" t="str">
        <f>IFERROR(MATCH(228,'Прайс и заказ'!$N$7:$N$435,0)+6,0)</f>
      </c>
    </row>
    <row r="237" spans="1:11" customHeight="1" ht="40">
      <c r="A237" s="13" t="str">
        <f>IF($J237=0,"",IFERROR(_xlfn.IMAGE(INDEX('Прайс и заказ'!$O:$O,$J237)),""))</f>
      </c>
      <c r="B237" s="61" t="str">
        <f>IF($J237=0,"",IF(INDEX('Прайс и заказ'!B:B,$J237)="","",INDEX('Прайс и заказ'!B:B,$J237)))</f>
      </c>
      <c r="C237" s="64" t="str">
        <f>IF($J237=0,"",IF(INDEX('Прайс и заказ'!C:C,$J237)="","",INDEX('Прайс и заказ'!C:C,$J237)))</f>
      </c>
      <c r="D237" s="64" t="str">
        <f>IF($J237=0,"",IF(INDEX('Прайс и заказ'!D:D,$J237)="","",INDEX('Прайс и заказ'!D:D,$J237)))</f>
      </c>
      <c r="E237" s="61" t="str">
        <f>IF($J237=0,"",IF(INDEX('Прайс и заказ'!F:F,$J237)="","",INDEX('Прайс и заказ'!F:F,$J237)))</f>
      </c>
      <c r="F237" s="62" t="str">
        <f>IF($J237=0,"",IF(INDEX('Прайс и заказ'!I:I,$J237)="","",INDEX('Прайс и заказ'!I:I,$J237)))</f>
      </c>
      <c r="G237" s="63" t="str">
        <f>IF($J237=0,"",IF(INDEX('Прайс и заказ'!K:K,$J237)="","",INDEX('Прайс и заказ'!K:K,$J237)))</f>
      </c>
      <c r="H237" s="62" t="str">
        <f>IF($J237=0,"",IF(INDEX('Прайс и заказ'!L:L,$J237)="","",INDEX('Прайс и заказ'!L:L,$J237)))</f>
      </c>
      <c r="I237" s="13" t="str">
        <f>IF($J237=0,"",IF(INDEX('Прайс и заказ'!M:M,$J237)="","",INDEX('Прайс и заказ'!M:M,$J237)))</f>
      </c>
      <c r="J237" t="str">
        <f>IFERROR(MATCH(229,'Прайс и заказ'!$N$7:$N$435,0)+6,0)</f>
      </c>
    </row>
    <row r="238" spans="1:11" customHeight="1" ht="40">
      <c r="A238" s="13" t="str">
        <f>IF($J238=0,"",IFERROR(_xlfn.IMAGE(INDEX('Прайс и заказ'!$O:$O,$J238)),""))</f>
      </c>
      <c r="B238" s="61" t="str">
        <f>IF($J238=0,"",IF(INDEX('Прайс и заказ'!B:B,$J238)="","",INDEX('Прайс и заказ'!B:B,$J238)))</f>
      </c>
      <c r="C238" s="64" t="str">
        <f>IF($J238=0,"",IF(INDEX('Прайс и заказ'!C:C,$J238)="","",INDEX('Прайс и заказ'!C:C,$J238)))</f>
      </c>
      <c r="D238" s="64" t="str">
        <f>IF($J238=0,"",IF(INDEX('Прайс и заказ'!D:D,$J238)="","",INDEX('Прайс и заказ'!D:D,$J238)))</f>
      </c>
      <c r="E238" s="61" t="str">
        <f>IF($J238=0,"",IF(INDEX('Прайс и заказ'!F:F,$J238)="","",INDEX('Прайс и заказ'!F:F,$J238)))</f>
      </c>
      <c r="F238" s="62" t="str">
        <f>IF($J238=0,"",IF(INDEX('Прайс и заказ'!I:I,$J238)="","",INDEX('Прайс и заказ'!I:I,$J238)))</f>
      </c>
      <c r="G238" s="63" t="str">
        <f>IF($J238=0,"",IF(INDEX('Прайс и заказ'!K:K,$J238)="","",INDEX('Прайс и заказ'!K:K,$J238)))</f>
      </c>
      <c r="H238" s="62" t="str">
        <f>IF($J238=0,"",IF(INDEX('Прайс и заказ'!L:L,$J238)="","",INDEX('Прайс и заказ'!L:L,$J238)))</f>
      </c>
      <c r="I238" s="13" t="str">
        <f>IF($J238=0,"",IF(INDEX('Прайс и заказ'!M:M,$J238)="","",INDEX('Прайс и заказ'!M:M,$J238)))</f>
      </c>
      <c r="J238" t="str">
        <f>IFERROR(MATCH(230,'Прайс и заказ'!$N$7:$N$435,0)+6,0)</f>
      </c>
    </row>
    <row r="239" spans="1:11" customHeight="1" ht="40">
      <c r="A239" s="13" t="str">
        <f>IF($J239=0,"",IFERROR(_xlfn.IMAGE(INDEX('Прайс и заказ'!$O:$O,$J239)),""))</f>
      </c>
      <c r="B239" s="61" t="str">
        <f>IF($J239=0,"",IF(INDEX('Прайс и заказ'!B:B,$J239)="","",INDEX('Прайс и заказ'!B:B,$J239)))</f>
      </c>
      <c r="C239" s="64" t="str">
        <f>IF($J239=0,"",IF(INDEX('Прайс и заказ'!C:C,$J239)="","",INDEX('Прайс и заказ'!C:C,$J239)))</f>
      </c>
      <c r="D239" s="64" t="str">
        <f>IF($J239=0,"",IF(INDEX('Прайс и заказ'!D:D,$J239)="","",INDEX('Прайс и заказ'!D:D,$J239)))</f>
      </c>
      <c r="E239" s="61" t="str">
        <f>IF($J239=0,"",IF(INDEX('Прайс и заказ'!F:F,$J239)="","",INDEX('Прайс и заказ'!F:F,$J239)))</f>
      </c>
      <c r="F239" s="62" t="str">
        <f>IF($J239=0,"",IF(INDEX('Прайс и заказ'!I:I,$J239)="","",INDEX('Прайс и заказ'!I:I,$J239)))</f>
      </c>
      <c r="G239" s="63" t="str">
        <f>IF($J239=0,"",IF(INDEX('Прайс и заказ'!K:K,$J239)="","",INDEX('Прайс и заказ'!K:K,$J239)))</f>
      </c>
      <c r="H239" s="62" t="str">
        <f>IF($J239=0,"",IF(INDEX('Прайс и заказ'!L:L,$J239)="","",INDEX('Прайс и заказ'!L:L,$J239)))</f>
      </c>
      <c r="I239" s="13" t="str">
        <f>IF($J239=0,"",IF(INDEX('Прайс и заказ'!M:M,$J239)="","",INDEX('Прайс и заказ'!M:M,$J239)))</f>
      </c>
      <c r="J239" t="str">
        <f>IFERROR(MATCH(231,'Прайс и заказ'!$N$7:$N$435,0)+6,0)</f>
      </c>
    </row>
    <row r="240" spans="1:11" customHeight="1" ht="40">
      <c r="A240" s="13" t="str">
        <f>IF($J240=0,"",IFERROR(_xlfn.IMAGE(INDEX('Прайс и заказ'!$O:$O,$J240)),""))</f>
      </c>
      <c r="B240" s="61" t="str">
        <f>IF($J240=0,"",IF(INDEX('Прайс и заказ'!B:B,$J240)="","",INDEX('Прайс и заказ'!B:B,$J240)))</f>
      </c>
      <c r="C240" s="64" t="str">
        <f>IF($J240=0,"",IF(INDEX('Прайс и заказ'!C:C,$J240)="","",INDEX('Прайс и заказ'!C:C,$J240)))</f>
      </c>
      <c r="D240" s="64" t="str">
        <f>IF($J240=0,"",IF(INDEX('Прайс и заказ'!D:D,$J240)="","",INDEX('Прайс и заказ'!D:D,$J240)))</f>
      </c>
      <c r="E240" s="61" t="str">
        <f>IF($J240=0,"",IF(INDEX('Прайс и заказ'!F:F,$J240)="","",INDEX('Прайс и заказ'!F:F,$J240)))</f>
      </c>
      <c r="F240" s="62" t="str">
        <f>IF($J240=0,"",IF(INDEX('Прайс и заказ'!I:I,$J240)="","",INDEX('Прайс и заказ'!I:I,$J240)))</f>
      </c>
      <c r="G240" s="63" t="str">
        <f>IF($J240=0,"",IF(INDEX('Прайс и заказ'!K:K,$J240)="","",INDEX('Прайс и заказ'!K:K,$J240)))</f>
      </c>
      <c r="H240" s="62" t="str">
        <f>IF($J240=0,"",IF(INDEX('Прайс и заказ'!L:L,$J240)="","",INDEX('Прайс и заказ'!L:L,$J240)))</f>
      </c>
      <c r="I240" s="13" t="str">
        <f>IF($J240=0,"",IF(INDEX('Прайс и заказ'!M:M,$J240)="","",INDEX('Прайс и заказ'!M:M,$J240)))</f>
      </c>
      <c r="J240" t="str">
        <f>IFERROR(MATCH(232,'Прайс и заказ'!$N$7:$N$435,0)+6,0)</f>
      </c>
    </row>
    <row r="241" spans="1:11" customHeight="1" ht="40">
      <c r="A241" s="13" t="str">
        <f>IF($J241=0,"",IFERROR(_xlfn.IMAGE(INDEX('Прайс и заказ'!$O:$O,$J241)),""))</f>
      </c>
      <c r="B241" s="61" t="str">
        <f>IF($J241=0,"",IF(INDEX('Прайс и заказ'!B:B,$J241)="","",INDEX('Прайс и заказ'!B:B,$J241)))</f>
      </c>
      <c r="C241" s="64" t="str">
        <f>IF($J241=0,"",IF(INDEX('Прайс и заказ'!C:C,$J241)="","",INDEX('Прайс и заказ'!C:C,$J241)))</f>
      </c>
      <c r="D241" s="64" t="str">
        <f>IF($J241=0,"",IF(INDEX('Прайс и заказ'!D:D,$J241)="","",INDEX('Прайс и заказ'!D:D,$J241)))</f>
      </c>
      <c r="E241" s="61" t="str">
        <f>IF($J241=0,"",IF(INDEX('Прайс и заказ'!F:F,$J241)="","",INDEX('Прайс и заказ'!F:F,$J241)))</f>
      </c>
      <c r="F241" s="62" t="str">
        <f>IF($J241=0,"",IF(INDEX('Прайс и заказ'!I:I,$J241)="","",INDEX('Прайс и заказ'!I:I,$J241)))</f>
      </c>
      <c r="G241" s="63" t="str">
        <f>IF($J241=0,"",IF(INDEX('Прайс и заказ'!K:K,$J241)="","",INDEX('Прайс и заказ'!K:K,$J241)))</f>
      </c>
      <c r="H241" s="62" t="str">
        <f>IF($J241=0,"",IF(INDEX('Прайс и заказ'!L:L,$J241)="","",INDEX('Прайс и заказ'!L:L,$J241)))</f>
      </c>
      <c r="I241" s="13" t="str">
        <f>IF($J241=0,"",IF(INDEX('Прайс и заказ'!M:M,$J241)="","",INDEX('Прайс и заказ'!M:M,$J241)))</f>
      </c>
      <c r="J241" t="str">
        <f>IFERROR(MATCH(233,'Прайс и заказ'!$N$7:$N$435,0)+6,0)</f>
      </c>
    </row>
    <row r="242" spans="1:11" customHeight="1" ht="40">
      <c r="A242" s="13" t="str">
        <f>IF($J242=0,"",IFERROR(_xlfn.IMAGE(INDEX('Прайс и заказ'!$O:$O,$J242)),""))</f>
      </c>
      <c r="B242" s="61" t="str">
        <f>IF($J242=0,"",IF(INDEX('Прайс и заказ'!B:B,$J242)="","",INDEX('Прайс и заказ'!B:B,$J242)))</f>
      </c>
      <c r="C242" s="64" t="str">
        <f>IF($J242=0,"",IF(INDEX('Прайс и заказ'!C:C,$J242)="","",INDEX('Прайс и заказ'!C:C,$J242)))</f>
      </c>
      <c r="D242" s="64" t="str">
        <f>IF($J242=0,"",IF(INDEX('Прайс и заказ'!D:D,$J242)="","",INDEX('Прайс и заказ'!D:D,$J242)))</f>
      </c>
      <c r="E242" s="61" t="str">
        <f>IF($J242=0,"",IF(INDEX('Прайс и заказ'!F:F,$J242)="","",INDEX('Прайс и заказ'!F:F,$J242)))</f>
      </c>
      <c r="F242" s="62" t="str">
        <f>IF($J242=0,"",IF(INDEX('Прайс и заказ'!I:I,$J242)="","",INDEX('Прайс и заказ'!I:I,$J242)))</f>
      </c>
      <c r="G242" s="63" t="str">
        <f>IF($J242=0,"",IF(INDEX('Прайс и заказ'!K:K,$J242)="","",INDEX('Прайс и заказ'!K:K,$J242)))</f>
      </c>
      <c r="H242" s="62" t="str">
        <f>IF($J242=0,"",IF(INDEX('Прайс и заказ'!L:L,$J242)="","",INDEX('Прайс и заказ'!L:L,$J242)))</f>
      </c>
      <c r="I242" s="13" t="str">
        <f>IF($J242=0,"",IF(INDEX('Прайс и заказ'!M:M,$J242)="","",INDEX('Прайс и заказ'!M:M,$J242)))</f>
      </c>
      <c r="J242" t="str">
        <f>IFERROR(MATCH(234,'Прайс и заказ'!$N$7:$N$435,0)+6,0)</f>
      </c>
    </row>
    <row r="243" spans="1:11" customHeight="1" ht="40">
      <c r="A243" s="13" t="str">
        <f>IF($J243=0,"",IFERROR(_xlfn.IMAGE(INDEX('Прайс и заказ'!$O:$O,$J243)),""))</f>
      </c>
      <c r="B243" s="61" t="str">
        <f>IF($J243=0,"",IF(INDEX('Прайс и заказ'!B:B,$J243)="","",INDEX('Прайс и заказ'!B:B,$J243)))</f>
      </c>
      <c r="C243" s="64" t="str">
        <f>IF($J243=0,"",IF(INDEX('Прайс и заказ'!C:C,$J243)="","",INDEX('Прайс и заказ'!C:C,$J243)))</f>
      </c>
      <c r="D243" s="64" t="str">
        <f>IF($J243=0,"",IF(INDEX('Прайс и заказ'!D:D,$J243)="","",INDEX('Прайс и заказ'!D:D,$J243)))</f>
      </c>
      <c r="E243" s="61" t="str">
        <f>IF($J243=0,"",IF(INDEX('Прайс и заказ'!F:F,$J243)="","",INDEX('Прайс и заказ'!F:F,$J243)))</f>
      </c>
      <c r="F243" s="62" t="str">
        <f>IF($J243=0,"",IF(INDEX('Прайс и заказ'!I:I,$J243)="","",INDEX('Прайс и заказ'!I:I,$J243)))</f>
      </c>
      <c r="G243" s="63" t="str">
        <f>IF($J243=0,"",IF(INDEX('Прайс и заказ'!K:K,$J243)="","",INDEX('Прайс и заказ'!K:K,$J243)))</f>
      </c>
      <c r="H243" s="62" t="str">
        <f>IF($J243=0,"",IF(INDEX('Прайс и заказ'!L:L,$J243)="","",INDEX('Прайс и заказ'!L:L,$J243)))</f>
      </c>
      <c r="I243" s="13" t="str">
        <f>IF($J243=0,"",IF(INDEX('Прайс и заказ'!M:M,$J243)="","",INDEX('Прайс и заказ'!M:M,$J243)))</f>
      </c>
      <c r="J243" t="str">
        <f>IFERROR(MATCH(235,'Прайс и заказ'!$N$7:$N$435,0)+6,0)</f>
      </c>
    </row>
    <row r="244" spans="1:11" customHeight="1" ht="40">
      <c r="A244" s="13" t="str">
        <f>IF($J244=0,"",IFERROR(_xlfn.IMAGE(INDEX('Прайс и заказ'!$O:$O,$J244)),""))</f>
      </c>
      <c r="B244" s="61" t="str">
        <f>IF($J244=0,"",IF(INDEX('Прайс и заказ'!B:B,$J244)="","",INDEX('Прайс и заказ'!B:B,$J244)))</f>
      </c>
      <c r="C244" s="64" t="str">
        <f>IF($J244=0,"",IF(INDEX('Прайс и заказ'!C:C,$J244)="","",INDEX('Прайс и заказ'!C:C,$J244)))</f>
      </c>
      <c r="D244" s="64" t="str">
        <f>IF($J244=0,"",IF(INDEX('Прайс и заказ'!D:D,$J244)="","",INDEX('Прайс и заказ'!D:D,$J244)))</f>
      </c>
      <c r="E244" s="61" t="str">
        <f>IF($J244=0,"",IF(INDEX('Прайс и заказ'!F:F,$J244)="","",INDEX('Прайс и заказ'!F:F,$J244)))</f>
      </c>
      <c r="F244" s="62" t="str">
        <f>IF($J244=0,"",IF(INDEX('Прайс и заказ'!I:I,$J244)="","",INDEX('Прайс и заказ'!I:I,$J244)))</f>
      </c>
      <c r="G244" s="63" t="str">
        <f>IF($J244=0,"",IF(INDEX('Прайс и заказ'!K:K,$J244)="","",INDEX('Прайс и заказ'!K:K,$J244)))</f>
      </c>
      <c r="H244" s="62" t="str">
        <f>IF($J244=0,"",IF(INDEX('Прайс и заказ'!L:L,$J244)="","",INDEX('Прайс и заказ'!L:L,$J244)))</f>
      </c>
      <c r="I244" s="13" t="str">
        <f>IF($J244=0,"",IF(INDEX('Прайс и заказ'!M:M,$J244)="","",INDEX('Прайс и заказ'!M:M,$J244)))</f>
      </c>
      <c r="J244" t="str">
        <f>IFERROR(MATCH(236,'Прайс и заказ'!$N$7:$N$435,0)+6,0)</f>
      </c>
    </row>
    <row r="245" spans="1:11" customHeight="1" ht="40">
      <c r="A245" s="13" t="str">
        <f>IF($J245=0,"",IFERROR(_xlfn.IMAGE(INDEX('Прайс и заказ'!$O:$O,$J245)),""))</f>
      </c>
      <c r="B245" s="61" t="str">
        <f>IF($J245=0,"",IF(INDEX('Прайс и заказ'!B:B,$J245)="","",INDEX('Прайс и заказ'!B:B,$J245)))</f>
      </c>
      <c r="C245" s="64" t="str">
        <f>IF($J245=0,"",IF(INDEX('Прайс и заказ'!C:C,$J245)="","",INDEX('Прайс и заказ'!C:C,$J245)))</f>
      </c>
      <c r="D245" s="64" t="str">
        <f>IF($J245=0,"",IF(INDEX('Прайс и заказ'!D:D,$J245)="","",INDEX('Прайс и заказ'!D:D,$J245)))</f>
      </c>
      <c r="E245" s="61" t="str">
        <f>IF($J245=0,"",IF(INDEX('Прайс и заказ'!F:F,$J245)="","",INDEX('Прайс и заказ'!F:F,$J245)))</f>
      </c>
      <c r="F245" s="62" t="str">
        <f>IF($J245=0,"",IF(INDEX('Прайс и заказ'!I:I,$J245)="","",INDEX('Прайс и заказ'!I:I,$J245)))</f>
      </c>
      <c r="G245" s="63" t="str">
        <f>IF($J245=0,"",IF(INDEX('Прайс и заказ'!K:K,$J245)="","",INDEX('Прайс и заказ'!K:K,$J245)))</f>
      </c>
      <c r="H245" s="62" t="str">
        <f>IF($J245=0,"",IF(INDEX('Прайс и заказ'!L:L,$J245)="","",INDEX('Прайс и заказ'!L:L,$J245)))</f>
      </c>
      <c r="I245" s="13" t="str">
        <f>IF($J245=0,"",IF(INDEX('Прайс и заказ'!M:M,$J245)="","",INDEX('Прайс и заказ'!M:M,$J245)))</f>
      </c>
      <c r="J245" t="str">
        <f>IFERROR(MATCH(237,'Прайс и заказ'!$N$7:$N$435,0)+6,0)</f>
      </c>
    </row>
    <row r="246" spans="1:11" customHeight="1" ht="40">
      <c r="A246" s="13" t="str">
        <f>IF($J246=0,"",IFERROR(_xlfn.IMAGE(INDEX('Прайс и заказ'!$O:$O,$J246)),""))</f>
      </c>
      <c r="B246" s="61" t="str">
        <f>IF($J246=0,"",IF(INDEX('Прайс и заказ'!B:B,$J246)="","",INDEX('Прайс и заказ'!B:B,$J246)))</f>
      </c>
      <c r="C246" s="64" t="str">
        <f>IF($J246=0,"",IF(INDEX('Прайс и заказ'!C:C,$J246)="","",INDEX('Прайс и заказ'!C:C,$J246)))</f>
      </c>
      <c r="D246" s="64" t="str">
        <f>IF($J246=0,"",IF(INDEX('Прайс и заказ'!D:D,$J246)="","",INDEX('Прайс и заказ'!D:D,$J246)))</f>
      </c>
      <c r="E246" s="61" t="str">
        <f>IF($J246=0,"",IF(INDEX('Прайс и заказ'!F:F,$J246)="","",INDEX('Прайс и заказ'!F:F,$J246)))</f>
      </c>
      <c r="F246" s="62" t="str">
        <f>IF($J246=0,"",IF(INDEX('Прайс и заказ'!I:I,$J246)="","",INDEX('Прайс и заказ'!I:I,$J246)))</f>
      </c>
      <c r="G246" s="63" t="str">
        <f>IF($J246=0,"",IF(INDEX('Прайс и заказ'!K:K,$J246)="","",INDEX('Прайс и заказ'!K:K,$J246)))</f>
      </c>
      <c r="H246" s="62" t="str">
        <f>IF($J246=0,"",IF(INDEX('Прайс и заказ'!L:L,$J246)="","",INDEX('Прайс и заказ'!L:L,$J246)))</f>
      </c>
      <c r="I246" s="13" t="str">
        <f>IF($J246=0,"",IF(INDEX('Прайс и заказ'!M:M,$J246)="","",INDEX('Прайс и заказ'!M:M,$J246)))</f>
      </c>
      <c r="J246" t="str">
        <f>IFERROR(MATCH(238,'Прайс и заказ'!$N$7:$N$435,0)+6,0)</f>
      </c>
    </row>
    <row r="247" spans="1:11" customHeight="1" ht="40">
      <c r="A247" s="13" t="str">
        <f>IF($J247=0,"",IFERROR(_xlfn.IMAGE(INDEX('Прайс и заказ'!$O:$O,$J247)),""))</f>
      </c>
      <c r="B247" s="61" t="str">
        <f>IF($J247=0,"",IF(INDEX('Прайс и заказ'!B:B,$J247)="","",INDEX('Прайс и заказ'!B:B,$J247)))</f>
      </c>
      <c r="C247" s="64" t="str">
        <f>IF($J247=0,"",IF(INDEX('Прайс и заказ'!C:C,$J247)="","",INDEX('Прайс и заказ'!C:C,$J247)))</f>
      </c>
      <c r="D247" s="64" t="str">
        <f>IF($J247=0,"",IF(INDEX('Прайс и заказ'!D:D,$J247)="","",INDEX('Прайс и заказ'!D:D,$J247)))</f>
      </c>
      <c r="E247" s="61" t="str">
        <f>IF($J247=0,"",IF(INDEX('Прайс и заказ'!F:F,$J247)="","",INDEX('Прайс и заказ'!F:F,$J247)))</f>
      </c>
      <c r="F247" s="62" t="str">
        <f>IF($J247=0,"",IF(INDEX('Прайс и заказ'!I:I,$J247)="","",INDEX('Прайс и заказ'!I:I,$J247)))</f>
      </c>
      <c r="G247" s="63" t="str">
        <f>IF($J247=0,"",IF(INDEX('Прайс и заказ'!K:K,$J247)="","",INDEX('Прайс и заказ'!K:K,$J247)))</f>
      </c>
      <c r="H247" s="62" t="str">
        <f>IF($J247=0,"",IF(INDEX('Прайс и заказ'!L:L,$J247)="","",INDEX('Прайс и заказ'!L:L,$J247)))</f>
      </c>
      <c r="I247" s="13" t="str">
        <f>IF($J247=0,"",IF(INDEX('Прайс и заказ'!M:M,$J247)="","",INDEX('Прайс и заказ'!M:M,$J247)))</f>
      </c>
      <c r="J247" t="str">
        <f>IFERROR(MATCH(239,'Прайс и заказ'!$N$7:$N$435,0)+6,0)</f>
      </c>
    </row>
    <row r="248" spans="1:11" customHeight="1" ht="40">
      <c r="A248" s="13" t="str">
        <f>IF($J248=0,"",IFERROR(_xlfn.IMAGE(INDEX('Прайс и заказ'!$O:$O,$J248)),""))</f>
      </c>
      <c r="B248" s="61" t="str">
        <f>IF($J248=0,"",IF(INDEX('Прайс и заказ'!B:B,$J248)="","",INDEX('Прайс и заказ'!B:B,$J248)))</f>
      </c>
      <c r="C248" s="64" t="str">
        <f>IF($J248=0,"",IF(INDEX('Прайс и заказ'!C:C,$J248)="","",INDEX('Прайс и заказ'!C:C,$J248)))</f>
      </c>
      <c r="D248" s="64" t="str">
        <f>IF($J248=0,"",IF(INDEX('Прайс и заказ'!D:D,$J248)="","",INDEX('Прайс и заказ'!D:D,$J248)))</f>
      </c>
      <c r="E248" s="61" t="str">
        <f>IF($J248=0,"",IF(INDEX('Прайс и заказ'!F:F,$J248)="","",INDEX('Прайс и заказ'!F:F,$J248)))</f>
      </c>
      <c r="F248" s="62" t="str">
        <f>IF($J248=0,"",IF(INDEX('Прайс и заказ'!I:I,$J248)="","",INDEX('Прайс и заказ'!I:I,$J248)))</f>
      </c>
      <c r="G248" s="63" t="str">
        <f>IF($J248=0,"",IF(INDEX('Прайс и заказ'!K:K,$J248)="","",INDEX('Прайс и заказ'!K:K,$J248)))</f>
      </c>
      <c r="H248" s="62" t="str">
        <f>IF($J248=0,"",IF(INDEX('Прайс и заказ'!L:L,$J248)="","",INDEX('Прайс и заказ'!L:L,$J248)))</f>
      </c>
      <c r="I248" s="13" t="str">
        <f>IF($J248=0,"",IF(INDEX('Прайс и заказ'!M:M,$J248)="","",INDEX('Прайс и заказ'!M:M,$J248)))</f>
      </c>
      <c r="J248" t="str">
        <f>IFERROR(MATCH(240,'Прайс и заказ'!$N$7:$N$435,0)+6,0)</f>
      </c>
    </row>
    <row r="249" spans="1:11" customHeight="1" ht="40">
      <c r="A249" s="13" t="str">
        <f>IF($J249=0,"",IFERROR(_xlfn.IMAGE(INDEX('Прайс и заказ'!$O:$O,$J249)),""))</f>
      </c>
      <c r="B249" s="61" t="str">
        <f>IF($J249=0,"",IF(INDEX('Прайс и заказ'!B:B,$J249)="","",INDEX('Прайс и заказ'!B:B,$J249)))</f>
      </c>
      <c r="C249" s="64" t="str">
        <f>IF($J249=0,"",IF(INDEX('Прайс и заказ'!C:C,$J249)="","",INDEX('Прайс и заказ'!C:C,$J249)))</f>
      </c>
      <c r="D249" s="64" t="str">
        <f>IF($J249=0,"",IF(INDEX('Прайс и заказ'!D:D,$J249)="","",INDEX('Прайс и заказ'!D:D,$J249)))</f>
      </c>
      <c r="E249" s="61" t="str">
        <f>IF($J249=0,"",IF(INDEX('Прайс и заказ'!F:F,$J249)="","",INDEX('Прайс и заказ'!F:F,$J249)))</f>
      </c>
      <c r="F249" s="62" t="str">
        <f>IF($J249=0,"",IF(INDEX('Прайс и заказ'!I:I,$J249)="","",INDEX('Прайс и заказ'!I:I,$J249)))</f>
      </c>
      <c r="G249" s="63" t="str">
        <f>IF($J249=0,"",IF(INDEX('Прайс и заказ'!K:K,$J249)="","",INDEX('Прайс и заказ'!K:K,$J249)))</f>
      </c>
      <c r="H249" s="62" t="str">
        <f>IF($J249=0,"",IF(INDEX('Прайс и заказ'!L:L,$J249)="","",INDEX('Прайс и заказ'!L:L,$J249)))</f>
      </c>
      <c r="I249" s="13" t="str">
        <f>IF($J249=0,"",IF(INDEX('Прайс и заказ'!M:M,$J249)="","",INDEX('Прайс и заказ'!M:M,$J249)))</f>
      </c>
      <c r="J249" t="str">
        <f>IFERROR(MATCH(241,'Прайс и заказ'!$N$7:$N$435,0)+6,0)</f>
      </c>
    </row>
    <row r="250" spans="1:11" customHeight="1" ht="40">
      <c r="A250" s="13" t="str">
        <f>IF($J250=0,"",IFERROR(_xlfn.IMAGE(INDEX('Прайс и заказ'!$O:$O,$J250)),""))</f>
      </c>
      <c r="B250" s="61" t="str">
        <f>IF($J250=0,"",IF(INDEX('Прайс и заказ'!B:B,$J250)="","",INDEX('Прайс и заказ'!B:B,$J250)))</f>
      </c>
      <c r="C250" s="64" t="str">
        <f>IF($J250=0,"",IF(INDEX('Прайс и заказ'!C:C,$J250)="","",INDEX('Прайс и заказ'!C:C,$J250)))</f>
      </c>
      <c r="D250" s="64" t="str">
        <f>IF($J250=0,"",IF(INDEX('Прайс и заказ'!D:D,$J250)="","",INDEX('Прайс и заказ'!D:D,$J250)))</f>
      </c>
      <c r="E250" s="61" t="str">
        <f>IF($J250=0,"",IF(INDEX('Прайс и заказ'!F:F,$J250)="","",INDEX('Прайс и заказ'!F:F,$J250)))</f>
      </c>
      <c r="F250" s="62" t="str">
        <f>IF($J250=0,"",IF(INDEX('Прайс и заказ'!I:I,$J250)="","",INDEX('Прайс и заказ'!I:I,$J250)))</f>
      </c>
      <c r="G250" s="63" t="str">
        <f>IF($J250=0,"",IF(INDEX('Прайс и заказ'!K:K,$J250)="","",INDEX('Прайс и заказ'!K:K,$J250)))</f>
      </c>
      <c r="H250" s="62" t="str">
        <f>IF($J250=0,"",IF(INDEX('Прайс и заказ'!L:L,$J250)="","",INDEX('Прайс и заказ'!L:L,$J250)))</f>
      </c>
      <c r="I250" s="13" t="str">
        <f>IF($J250=0,"",IF(INDEX('Прайс и заказ'!M:M,$J250)="","",INDEX('Прайс и заказ'!M:M,$J250)))</f>
      </c>
      <c r="J250" t="str">
        <f>IFERROR(MATCH(242,'Прайс и заказ'!$N$7:$N$435,0)+6,0)</f>
      </c>
    </row>
    <row r="251" spans="1:11" customHeight="1" ht="40">
      <c r="A251" s="13" t="str">
        <f>IF($J251=0,"",IFERROR(_xlfn.IMAGE(INDEX('Прайс и заказ'!$O:$O,$J251)),""))</f>
      </c>
      <c r="B251" s="61" t="str">
        <f>IF($J251=0,"",IF(INDEX('Прайс и заказ'!B:B,$J251)="","",INDEX('Прайс и заказ'!B:B,$J251)))</f>
      </c>
      <c r="C251" s="64" t="str">
        <f>IF($J251=0,"",IF(INDEX('Прайс и заказ'!C:C,$J251)="","",INDEX('Прайс и заказ'!C:C,$J251)))</f>
      </c>
      <c r="D251" s="64" t="str">
        <f>IF($J251=0,"",IF(INDEX('Прайс и заказ'!D:D,$J251)="","",INDEX('Прайс и заказ'!D:D,$J251)))</f>
      </c>
      <c r="E251" s="61" t="str">
        <f>IF($J251=0,"",IF(INDEX('Прайс и заказ'!F:F,$J251)="","",INDEX('Прайс и заказ'!F:F,$J251)))</f>
      </c>
      <c r="F251" s="62" t="str">
        <f>IF($J251=0,"",IF(INDEX('Прайс и заказ'!I:I,$J251)="","",INDEX('Прайс и заказ'!I:I,$J251)))</f>
      </c>
      <c r="G251" s="63" t="str">
        <f>IF($J251=0,"",IF(INDEX('Прайс и заказ'!K:K,$J251)="","",INDEX('Прайс и заказ'!K:K,$J251)))</f>
      </c>
      <c r="H251" s="62" t="str">
        <f>IF($J251=0,"",IF(INDEX('Прайс и заказ'!L:L,$J251)="","",INDEX('Прайс и заказ'!L:L,$J251)))</f>
      </c>
      <c r="I251" s="13" t="str">
        <f>IF($J251=0,"",IF(INDEX('Прайс и заказ'!M:M,$J251)="","",INDEX('Прайс и заказ'!M:M,$J251)))</f>
      </c>
      <c r="J251" t="str">
        <f>IFERROR(MATCH(243,'Прайс и заказ'!$N$7:$N$435,0)+6,0)</f>
      </c>
    </row>
    <row r="252" spans="1:11" customHeight="1" ht="40">
      <c r="A252" s="13" t="str">
        <f>IF($J252=0,"",IFERROR(_xlfn.IMAGE(INDEX('Прайс и заказ'!$O:$O,$J252)),""))</f>
      </c>
      <c r="B252" s="61" t="str">
        <f>IF($J252=0,"",IF(INDEX('Прайс и заказ'!B:B,$J252)="","",INDEX('Прайс и заказ'!B:B,$J252)))</f>
      </c>
      <c r="C252" s="64" t="str">
        <f>IF($J252=0,"",IF(INDEX('Прайс и заказ'!C:C,$J252)="","",INDEX('Прайс и заказ'!C:C,$J252)))</f>
      </c>
      <c r="D252" s="64" t="str">
        <f>IF($J252=0,"",IF(INDEX('Прайс и заказ'!D:D,$J252)="","",INDEX('Прайс и заказ'!D:D,$J252)))</f>
      </c>
      <c r="E252" s="61" t="str">
        <f>IF($J252=0,"",IF(INDEX('Прайс и заказ'!F:F,$J252)="","",INDEX('Прайс и заказ'!F:F,$J252)))</f>
      </c>
      <c r="F252" s="62" t="str">
        <f>IF($J252=0,"",IF(INDEX('Прайс и заказ'!I:I,$J252)="","",INDEX('Прайс и заказ'!I:I,$J252)))</f>
      </c>
      <c r="G252" s="63" t="str">
        <f>IF($J252=0,"",IF(INDEX('Прайс и заказ'!K:K,$J252)="","",INDEX('Прайс и заказ'!K:K,$J252)))</f>
      </c>
      <c r="H252" s="62" t="str">
        <f>IF($J252=0,"",IF(INDEX('Прайс и заказ'!L:L,$J252)="","",INDEX('Прайс и заказ'!L:L,$J252)))</f>
      </c>
      <c r="I252" s="13" t="str">
        <f>IF($J252=0,"",IF(INDEX('Прайс и заказ'!M:M,$J252)="","",INDEX('Прайс и заказ'!M:M,$J252)))</f>
      </c>
      <c r="J252" t="str">
        <f>IFERROR(MATCH(244,'Прайс и заказ'!$N$7:$N$435,0)+6,0)</f>
      </c>
    </row>
    <row r="253" spans="1:11" customHeight="1" ht="40">
      <c r="A253" s="13" t="str">
        <f>IF($J253=0,"",IFERROR(_xlfn.IMAGE(INDEX('Прайс и заказ'!$O:$O,$J253)),""))</f>
      </c>
      <c r="B253" s="61" t="str">
        <f>IF($J253=0,"",IF(INDEX('Прайс и заказ'!B:B,$J253)="","",INDEX('Прайс и заказ'!B:B,$J253)))</f>
      </c>
      <c r="C253" s="64" t="str">
        <f>IF($J253=0,"",IF(INDEX('Прайс и заказ'!C:C,$J253)="","",INDEX('Прайс и заказ'!C:C,$J253)))</f>
      </c>
      <c r="D253" s="64" t="str">
        <f>IF($J253=0,"",IF(INDEX('Прайс и заказ'!D:D,$J253)="","",INDEX('Прайс и заказ'!D:D,$J253)))</f>
      </c>
      <c r="E253" s="61" t="str">
        <f>IF($J253=0,"",IF(INDEX('Прайс и заказ'!F:F,$J253)="","",INDEX('Прайс и заказ'!F:F,$J253)))</f>
      </c>
      <c r="F253" s="62" t="str">
        <f>IF($J253=0,"",IF(INDEX('Прайс и заказ'!I:I,$J253)="","",INDEX('Прайс и заказ'!I:I,$J253)))</f>
      </c>
      <c r="G253" s="63" t="str">
        <f>IF($J253=0,"",IF(INDEX('Прайс и заказ'!K:K,$J253)="","",INDEX('Прайс и заказ'!K:K,$J253)))</f>
      </c>
      <c r="H253" s="62" t="str">
        <f>IF($J253=0,"",IF(INDEX('Прайс и заказ'!L:L,$J253)="","",INDEX('Прайс и заказ'!L:L,$J253)))</f>
      </c>
      <c r="I253" s="13" t="str">
        <f>IF($J253=0,"",IF(INDEX('Прайс и заказ'!M:M,$J253)="","",INDEX('Прайс и заказ'!M:M,$J253)))</f>
      </c>
      <c r="J253" t="str">
        <f>IFERROR(MATCH(245,'Прайс и заказ'!$N$7:$N$435,0)+6,0)</f>
      </c>
    </row>
    <row r="254" spans="1:11" customHeight="1" ht="40">
      <c r="A254" s="13" t="str">
        <f>IF($J254=0,"",IFERROR(_xlfn.IMAGE(INDEX('Прайс и заказ'!$O:$O,$J254)),""))</f>
      </c>
      <c r="B254" s="61" t="str">
        <f>IF($J254=0,"",IF(INDEX('Прайс и заказ'!B:B,$J254)="","",INDEX('Прайс и заказ'!B:B,$J254)))</f>
      </c>
      <c r="C254" s="64" t="str">
        <f>IF($J254=0,"",IF(INDEX('Прайс и заказ'!C:C,$J254)="","",INDEX('Прайс и заказ'!C:C,$J254)))</f>
      </c>
      <c r="D254" s="64" t="str">
        <f>IF($J254=0,"",IF(INDEX('Прайс и заказ'!D:D,$J254)="","",INDEX('Прайс и заказ'!D:D,$J254)))</f>
      </c>
      <c r="E254" s="61" t="str">
        <f>IF($J254=0,"",IF(INDEX('Прайс и заказ'!F:F,$J254)="","",INDEX('Прайс и заказ'!F:F,$J254)))</f>
      </c>
      <c r="F254" s="62" t="str">
        <f>IF($J254=0,"",IF(INDEX('Прайс и заказ'!I:I,$J254)="","",INDEX('Прайс и заказ'!I:I,$J254)))</f>
      </c>
      <c r="G254" s="63" t="str">
        <f>IF($J254=0,"",IF(INDEX('Прайс и заказ'!K:K,$J254)="","",INDEX('Прайс и заказ'!K:K,$J254)))</f>
      </c>
      <c r="H254" s="62" t="str">
        <f>IF($J254=0,"",IF(INDEX('Прайс и заказ'!L:L,$J254)="","",INDEX('Прайс и заказ'!L:L,$J254)))</f>
      </c>
      <c r="I254" s="13" t="str">
        <f>IF($J254=0,"",IF(INDEX('Прайс и заказ'!M:M,$J254)="","",INDEX('Прайс и заказ'!M:M,$J254)))</f>
      </c>
      <c r="J254" t="str">
        <f>IFERROR(MATCH(246,'Прайс и заказ'!$N$7:$N$435,0)+6,0)</f>
      </c>
    </row>
    <row r="255" spans="1:11" customHeight="1" ht="40">
      <c r="A255" s="13" t="str">
        <f>IF($J255=0,"",IFERROR(_xlfn.IMAGE(INDEX('Прайс и заказ'!$O:$O,$J255)),""))</f>
      </c>
      <c r="B255" s="61" t="str">
        <f>IF($J255=0,"",IF(INDEX('Прайс и заказ'!B:B,$J255)="","",INDEX('Прайс и заказ'!B:B,$J255)))</f>
      </c>
      <c r="C255" s="64" t="str">
        <f>IF($J255=0,"",IF(INDEX('Прайс и заказ'!C:C,$J255)="","",INDEX('Прайс и заказ'!C:C,$J255)))</f>
      </c>
      <c r="D255" s="64" t="str">
        <f>IF($J255=0,"",IF(INDEX('Прайс и заказ'!D:D,$J255)="","",INDEX('Прайс и заказ'!D:D,$J255)))</f>
      </c>
      <c r="E255" s="61" t="str">
        <f>IF($J255=0,"",IF(INDEX('Прайс и заказ'!F:F,$J255)="","",INDEX('Прайс и заказ'!F:F,$J255)))</f>
      </c>
      <c r="F255" s="62" t="str">
        <f>IF($J255=0,"",IF(INDEX('Прайс и заказ'!I:I,$J255)="","",INDEX('Прайс и заказ'!I:I,$J255)))</f>
      </c>
      <c r="G255" s="63" t="str">
        <f>IF($J255=0,"",IF(INDEX('Прайс и заказ'!K:K,$J255)="","",INDEX('Прайс и заказ'!K:K,$J255)))</f>
      </c>
      <c r="H255" s="62" t="str">
        <f>IF($J255=0,"",IF(INDEX('Прайс и заказ'!L:L,$J255)="","",INDEX('Прайс и заказ'!L:L,$J255)))</f>
      </c>
      <c r="I255" s="13" t="str">
        <f>IF($J255=0,"",IF(INDEX('Прайс и заказ'!M:M,$J255)="","",INDEX('Прайс и заказ'!M:M,$J255)))</f>
      </c>
      <c r="J255" t="str">
        <f>IFERROR(MATCH(247,'Прайс и заказ'!$N$7:$N$435,0)+6,0)</f>
      </c>
    </row>
    <row r="256" spans="1:11" customHeight="1" ht="40">
      <c r="A256" s="13" t="str">
        <f>IF($J256=0,"",IFERROR(_xlfn.IMAGE(INDEX('Прайс и заказ'!$O:$O,$J256)),""))</f>
      </c>
      <c r="B256" s="61" t="str">
        <f>IF($J256=0,"",IF(INDEX('Прайс и заказ'!B:B,$J256)="","",INDEX('Прайс и заказ'!B:B,$J256)))</f>
      </c>
      <c r="C256" s="64" t="str">
        <f>IF($J256=0,"",IF(INDEX('Прайс и заказ'!C:C,$J256)="","",INDEX('Прайс и заказ'!C:C,$J256)))</f>
      </c>
      <c r="D256" s="64" t="str">
        <f>IF($J256=0,"",IF(INDEX('Прайс и заказ'!D:D,$J256)="","",INDEX('Прайс и заказ'!D:D,$J256)))</f>
      </c>
      <c r="E256" s="61" t="str">
        <f>IF($J256=0,"",IF(INDEX('Прайс и заказ'!F:F,$J256)="","",INDEX('Прайс и заказ'!F:F,$J256)))</f>
      </c>
      <c r="F256" s="62" t="str">
        <f>IF($J256=0,"",IF(INDEX('Прайс и заказ'!I:I,$J256)="","",INDEX('Прайс и заказ'!I:I,$J256)))</f>
      </c>
      <c r="G256" s="63" t="str">
        <f>IF($J256=0,"",IF(INDEX('Прайс и заказ'!K:K,$J256)="","",INDEX('Прайс и заказ'!K:K,$J256)))</f>
      </c>
      <c r="H256" s="62" t="str">
        <f>IF($J256=0,"",IF(INDEX('Прайс и заказ'!L:L,$J256)="","",INDEX('Прайс и заказ'!L:L,$J256)))</f>
      </c>
      <c r="I256" s="13" t="str">
        <f>IF($J256=0,"",IF(INDEX('Прайс и заказ'!M:M,$J256)="","",INDEX('Прайс и заказ'!M:M,$J256)))</f>
      </c>
      <c r="J256" t="str">
        <f>IFERROR(MATCH(248,'Прайс и заказ'!$N$7:$N$435,0)+6,0)</f>
      </c>
    </row>
    <row r="257" spans="1:11" customHeight="1" ht="40">
      <c r="A257" s="13" t="str">
        <f>IF($J257=0,"",IFERROR(_xlfn.IMAGE(INDEX('Прайс и заказ'!$O:$O,$J257)),""))</f>
      </c>
      <c r="B257" s="61" t="str">
        <f>IF($J257=0,"",IF(INDEX('Прайс и заказ'!B:B,$J257)="","",INDEX('Прайс и заказ'!B:B,$J257)))</f>
      </c>
      <c r="C257" s="64" t="str">
        <f>IF($J257=0,"",IF(INDEX('Прайс и заказ'!C:C,$J257)="","",INDEX('Прайс и заказ'!C:C,$J257)))</f>
      </c>
      <c r="D257" s="64" t="str">
        <f>IF($J257=0,"",IF(INDEX('Прайс и заказ'!D:D,$J257)="","",INDEX('Прайс и заказ'!D:D,$J257)))</f>
      </c>
      <c r="E257" s="61" t="str">
        <f>IF($J257=0,"",IF(INDEX('Прайс и заказ'!F:F,$J257)="","",INDEX('Прайс и заказ'!F:F,$J257)))</f>
      </c>
      <c r="F257" s="62" t="str">
        <f>IF($J257=0,"",IF(INDEX('Прайс и заказ'!I:I,$J257)="","",INDEX('Прайс и заказ'!I:I,$J257)))</f>
      </c>
      <c r="G257" s="63" t="str">
        <f>IF($J257=0,"",IF(INDEX('Прайс и заказ'!K:K,$J257)="","",INDEX('Прайс и заказ'!K:K,$J257)))</f>
      </c>
      <c r="H257" s="62" t="str">
        <f>IF($J257=0,"",IF(INDEX('Прайс и заказ'!L:L,$J257)="","",INDEX('Прайс и заказ'!L:L,$J257)))</f>
      </c>
      <c r="I257" s="13" t="str">
        <f>IF($J257=0,"",IF(INDEX('Прайс и заказ'!M:M,$J257)="","",INDEX('Прайс и заказ'!M:M,$J257)))</f>
      </c>
      <c r="J257" t="str">
        <f>IFERROR(MATCH(249,'Прайс и заказ'!$N$7:$N$435,0)+6,0)</f>
      </c>
    </row>
    <row r="258" spans="1:11" customHeight="1" ht="40">
      <c r="A258" s="13" t="str">
        <f>IF($J258=0,"",IFERROR(_xlfn.IMAGE(INDEX('Прайс и заказ'!$O:$O,$J258)),""))</f>
      </c>
      <c r="B258" s="61" t="str">
        <f>IF($J258=0,"",IF(INDEX('Прайс и заказ'!B:B,$J258)="","",INDEX('Прайс и заказ'!B:B,$J258)))</f>
      </c>
      <c r="C258" s="64" t="str">
        <f>IF($J258=0,"",IF(INDEX('Прайс и заказ'!C:C,$J258)="","",INDEX('Прайс и заказ'!C:C,$J258)))</f>
      </c>
      <c r="D258" s="64" t="str">
        <f>IF($J258=0,"",IF(INDEX('Прайс и заказ'!D:D,$J258)="","",INDEX('Прайс и заказ'!D:D,$J258)))</f>
      </c>
      <c r="E258" s="61" t="str">
        <f>IF($J258=0,"",IF(INDEX('Прайс и заказ'!F:F,$J258)="","",INDEX('Прайс и заказ'!F:F,$J258)))</f>
      </c>
      <c r="F258" s="62" t="str">
        <f>IF($J258=0,"",IF(INDEX('Прайс и заказ'!I:I,$J258)="","",INDEX('Прайс и заказ'!I:I,$J258)))</f>
      </c>
      <c r="G258" s="63" t="str">
        <f>IF($J258=0,"",IF(INDEX('Прайс и заказ'!K:K,$J258)="","",INDEX('Прайс и заказ'!K:K,$J258)))</f>
      </c>
      <c r="H258" s="62" t="str">
        <f>IF($J258=0,"",IF(INDEX('Прайс и заказ'!L:L,$J258)="","",INDEX('Прайс и заказ'!L:L,$J258)))</f>
      </c>
      <c r="I258" s="13" t="str">
        <f>IF($J258=0,"",IF(INDEX('Прайс и заказ'!M:M,$J258)="","",INDEX('Прайс и заказ'!M:M,$J258)))</f>
      </c>
      <c r="J258" t="str">
        <f>IFERROR(MATCH(250,'Прайс и заказ'!$N$7:$N$435,0)+6,0)</f>
      </c>
    </row>
    <row r="259" spans="1:11" customHeight="1" ht="40">
      <c r="A259" s="13" t="str">
        <f>IF($J259=0,"",IFERROR(_xlfn.IMAGE(INDEX('Прайс и заказ'!$O:$O,$J259)),""))</f>
      </c>
      <c r="B259" s="61" t="str">
        <f>IF($J259=0,"",IF(INDEX('Прайс и заказ'!B:B,$J259)="","",INDEX('Прайс и заказ'!B:B,$J259)))</f>
      </c>
      <c r="C259" s="64" t="str">
        <f>IF($J259=0,"",IF(INDEX('Прайс и заказ'!C:C,$J259)="","",INDEX('Прайс и заказ'!C:C,$J259)))</f>
      </c>
      <c r="D259" s="64" t="str">
        <f>IF($J259=0,"",IF(INDEX('Прайс и заказ'!D:D,$J259)="","",INDEX('Прайс и заказ'!D:D,$J259)))</f>
      </c>
      <c r="E259" s="61" t="str">
        <f>IF($J259=0,"",IF(INDEX('Прайс и заказ'!F:F,$J259)="","",INDEX('Прайс и заказ'!F:F,$J259)))</f>
      </c>
      <c r="F259" s="62" t="str">
        <f>IF($J259=0,"",IF(INDEX('Прайс и заказ'!I:I,$J259)="","",INDEX('Прайс и заказ'!I:I,$J259)))</f>
      </c>
      <c r="G259" s="63" t="str">
        <f>IF($J259=0,"",IF(INDEX('Прайс и заказ'!K:K,$J259)="","",INDEX('Прайс и заказ'!K:K,$J259)))</f>
      </c>
      <c r="H259" s="62" t="str">
        <f>IF($J259=0,"",IF(INDEX('Прайс и заказ'!L:L,$J259)="","",INDEX('Прайс и заказ'!L:L,$J259)))</f>
      </c>
      <c r="I259" s="13" t="str">
        <f>IF($J259=0,"",IF(INDEX('Прайс и заказ'!M:M,$J259)="","",INDEX('Прайс и заказ'!M:M,$J259)))</f>
      </c>
      <c r="J259" t="str">
        <f>IFERROR(MATCH(251,'Прайс и заказ'!$N$7:$N$435,0)+6,0)</f>
      </c>
    </row>
    <row r="260" spans="1:11" customHeight="1" ht="40">
      <c r="A260" s="13" t="str">
        <f>IF($J260=0,"",IFERROR(_xlfn.IMAGE(INDEX('Прайс и заказ'!$O:$O,$J260)),""))</f>
      </c>
      <c r="B260" s="61" t="str">
        <f>IF($J260=0,"",IF(INDEX('Прайс и заказ'!B:B,$J260)="","",INDEX('Прайс и заказ'!B:B,$J260)))</f>
      </c>
      <c r="C260" s="64" t="str">
        <f>IF($J260=0,"",IF(INDEX('Прайс и заказ'!C:C,$J260)="","",INDEX('Прайс и заказ'!C:C,$J260)))</f>
      </c>
      <c r="D260" s="64" t="str">
        <f>IF($J260=0,"",IF(INDEX('Прайс и заказ'!D:D,$J260)="","",INDEX('Прайс и заказ'!D:D,$J260)))</f>
      </c>
      <c r="E260" s="61" t="str">
        <f>IF($J260=0,"",IF(INDEX('Прайс и заказ'!F:F,$J260)="","",INDEX('Прайс и заказ'!F:F,$J260)))</f>
      </c>
      <c r="F260" s="62" t="str">
        <f>IF($J260=0,"",IF(INDEX('Прайс и заказ'!I:I,$J260)="","",INDEX('Прайс и заказ'!I:I,$J260)))</f>
      </c>
      <c r="G260" s="63" t="str">
        <f>IF($J260=0,"",IF(INDEX('Прайс и заказ'!K:K,$J260)="","",INDEX('Прайс и заказ'!K:K,$J260)))</f>
      </c>
      <c r="H260" s="62" t="str">
        <f>IF($J260=0,"",IF(INDEX('Прайс и заказ'!L:L,$J260)="","",INDEX('Прайс и заказ'!L:L,$J260)))</f>
      </c>
      <c r="I260" s="13" t="str">
        <f>IF($J260=0,"",IF(INDEX('Прайс и заказ'!M:M,$J260)="","",INDEX('Прайс и заказ'!M:M,$J260)))</f>
      </c>
      <c r="J260" t="str">
        <f>IFERROR(MATCH(252,'Прайс и заказ'!$N$7:$N$435,0)+6,0)</f>
      </c>
    </row>
    <row r="261" spans="1:11" customHeight="1" ht="40">
      <c r="A261" s="13" t="str">
        <f>IF($J261=0,"",IFERROR(_xlfn.IMAGE(INDEX('Прайс и заказ'!$O:$O,$J261)),""))</f>
      </c>
      <c r="B261" s="61" t="str">
        <f>IF($J261=0,"",IF(INDEX('Прайс и заказ'!B:B,$J261)="","",INDEX('Прайс и заказ'!B:B,$J261)))</f>
      </c>
      <c r="C261" s="64" t="str">
        <f>IF($J261=0,"",IF(INDEX('Прайс и заказ'!C:C,$J261)="","",INDEX('Прайс и заказ'!C:C,$J261)))</f>
      </c>
      <c r="D261" s="64" t="str">
        <f>IF($J261=0,"",IF(INDEX('Прайс и заказ'!D:D,$J261)="","",INDEX('Прайс и заказ'!D:D,$J261)))</f>
      </c>
      <c r="E261" s="61" t="str">
        <f>IF($J261=0,"",IF(INDEX('Прайс и заказ'!F:F,$J261)="","",INDEX('Прайс и заказ'!F:F,$J261)))</f>
      </c>
      <c r="F261" s="62" t="str">
        <f>IF($J261=0,"",IF(INDEX('Прайс и заказ'!I:I,$J261)="","",INDEX('Прайс и заказ'!I:I,$J261)))</f>
      </c>
      <c r="G261" s="63" t="str">
        <f>IF($J261=0,"",IF(INDEX('Прайс и заказ'!K:K,$J261)="","",INDEX('Прайс и заказ'!K:K,$J261)))</f>
      </c>
      <c r="H261" s="62" t="str">
        <f>IF($J261=0,"",IF(INDEX('Прайс и заказ'!L:L,$J261)="","",INDEX('Прайс и заказ'!L:L,$J261)))</f>
      </c>
      <c r="I261" s="13" t="str">
        <f>IF($J261=0,"",IF(INDEX('Прайс и заказ'!M:M,$J261)="","",INDEX('Прайс и заказ'!M:M,$J261)))</f>
      </c>
      <c r="J261" t="str">
        <f>IFERROR(MATCH(253,'Прайс и заказ'!$N$7:$N$435,0)+6,0)</f>
      </c>
    </row>
    <row r="262" spans="1:11" customHeight="1" ht="40">
      <c r="A262" s="13" t="str">
        <f>IF($J262=0,"",IFERROR(_xlfn.IMAGE(INDEX('Прайс и заказ'!$O:$O,$J262)),""))</f>
      </c>
      <c r="B262" s="61" t="str">
        <f>IF($J262=0,"",IF(INDEX('Прайс и заказ'!B:B,$J262)="","",INDEX('Прайс и заказ'!B:B,$J262)))</f>
      </c>
      <c r="C262" s="64" t="str">
        <f>IF($J262=0,"",IF(INDEX('Прайс и заказ'!C:C,$J262)="","",INDEX('Прайс и заказ'!C:C,$J262)))</f>
      </c>
      <c r="D262" s="64" t="str">
        <f>IF($J262=0,"",IF(INDEX('Прайс и заказ'!D:D,$J262)="","",INDEX('Прайс и заказ'!D:D,$J262)))</f>
      </c>
      <c r="E262" s="61" t="str">
        <f>IF($J262=0,"",IF(INDEX('Прайс и заказ'!F:F,$J262)="","",INDEX('Прайс и заказ'!F:F,$J262)))</f>
      </c>
      <c r="F262" s="62" t="str">
        <f>IF($J262=0,"",IF(INDEX('Прайс и заказ'!I:I,$J262)="","",INDEX('Прайс и заказ'!I:I,$J262)))</f>
      </c>
      <c r="G262" s="63" t="str">
        <f>IF($J262=0,"",IF(INDEX('Прайс и заказ'!K:K,$J262)="","",INDEX('Прайс и заказ'!K:K,$J262)))</f>
      </c>
      <c r="H262" s="62" t="str">
        <f>IF($J262=0,"",IF(INDEX('Прайс и заказ'!L:L,$J262)="","",INDEX('Прайс и заказ'!L:L,$J262)))</f>
      </c>
      <c r="I262" s="13" t="str">
        <f>IF($J262=0,"",IF(INDEX('Прайс и заказ'!M:M,$J262)="","",INDEX('Прайс и заказ'!M:M,$J262)))</f>
      </c>
      <c r="J262" t="str">
        <f>IFERROR(MATCH(254,'Прайс и заказ'!$N$7:$N$435,0)+6,0)</f>
      </c>
    </row>
    <row r="263" spans="1:11" customHeight="1" ht="40">
      <c r="A263" s="13" t="str">
        <f>IF($J263=0,"",IFERROR(_xlfn.IMAGE(INDEX('Прайс и заказ'!$O:$O,$J263)),""))</f>
      </c>
      <c r="B263" s="61" t="str">
        <f>IF($J263=0,"",IF(INDEX('Прайс и заказ'!B:B,$J263)="","",INDEX('Прайс и заказ'!B:B,$J263)))</f>
      </c>
      <c r="C263" s="64" t="str">
        <f>IF($J263=0,"",IF(INDEX('Прайс и заказ'!C:C,$J263)="","",INDEX('Прайс и заказ'!C:C,$J263)))</f>
      </c>
      <c r="D263" s="64" t="str">
        <f>IF($J263=0,"",IF(INDEX('Прайс и заказ'!D:D,$J263)="","",INDEX('Прайс и заказ'!D:D,$J263)))</f>
      </c>
      <c r="E263" s="61" t="str">
        <f>IF($J263=0,"",IF(INDEX('Прайс и заказ'!F:F,$J263)="","",INDEX('Прайс и заказ'!F:F,$J263)))</f>
      </c>
      <c r="F263" s="62" t="str">
        <f>IF($J263=0,"",IF(INDEX('Прайс и заказ'!I:I,$J263)="","",INDEX('Прайс и заказ'!I:I,$J263)))</f>
      </c>
      <c r="G263" s="63" t="str">
        <f>IF($J263=0,"",IF(INDEX('Прайс и заказ'!K:K,$J263)="","",INDEX('Прайс и заказ'!K:K,$J263)))</f>
      </c>
      <c r="H263" s="62" t="str">
        <f>IF($J263=0,"",IF(INDEX('Прайс и заказ'!L:L,$J263)="","",INDEX('Прайс и заказ'!L:L,$J263)))</f>
      </c>
      <c r="I263" s="13" t="str">
        <f>IF($J263=0,"",IF(INDEX('Прайс и заказ'!M:M,$J263)="","",INDEX('Прайс и заказ'!M:M,$J263)))</f>
      </c>
      <c r="J263" t="str">
        <f>IFERROR(MATCH(255,'Прайс и заказ'!$N$7:$N$435,0)+6,0)</f>
      </c>
    </row>
    <row r="264" spans="1:11" customHeight="1" ht="40">
      <c r="A264" s="13" t="str">
        <f>IF($J264=0,"",IFERROR(_xlfn.IMAGE(INDEX('Прайс и заказ'!$O:$O,$J264)),""))</f>
      </c>
      <c r="B264" s="61" t="str">
        <f>IF($J264=0,"",IF(INDEX('Прайс и заказ'!B:B,$J264)="","",INDEX('Прайс и заказ'!B:B,$J264)))</f>
      </c>
      <c r="C264" s="64" t="str">
        <f>IF($J264=0,"",IF(INDEX('Прайс и заказ'!C:C,$J264)="","",INDEX('Прайс и заказ'!C:C,$J264)))</f>
      </c>
      <c r="D264" s="64" t="str">
        <f>IF($J264=0,"",IF(INDEX('Прайс и заказ'!D:D,$J264)="","",INDEX('Прайс и заказ'!D:D,$J264)))</f>
      </c>
      <c r="E264" s="61" t="str">
        <f>IF($J264=0,"",IF(INDEX('Прайс и заказ'!F:F,$J264)="","",INDEX('Прайс и заказ'!F:F,$J264)))</f>
      </c>
      <c r="F264" s="62" t="str">
        <f>IF($J264=0,"",IF(INDEX('Прайс и заказ'!I:I,$J264)="","",INDEX('Прайс и заказ'!I:I,$J264)))</f>
      </c>
      <c r="G264" s="63" t="str">
        <f>IF($J264=0,"",IF(INDEX('Прайс и заказ'!K:K,$J264)="","",INDEX('Прайс и заказ'!K:K,$J264)))</f>
      </c>
      <c r="H264" s="62" t="str">
        <f>IF($J264=0,"",IF(INDEX('Прайс и заказ'!L:L,$J264)="","",INDEX('Прайс и заказ'!L:L,$J264)))</f>
      </c>
      <c r="I264" s="13" t="str">
        <f>IF($J264=0,"",IF(INDEX('Прайс и заказ'!M:M,$J264)="","",INDEX('Прайс и заказ'!M:M,$J264)))</f>
      </c>
      <c r="J264" t="str">
        <f>IFERROR(MATCH(256,'Прайс и заказ'!$N$7:$N$435,0)+6,0)</f>
      </c>
    </row>
    <row r="265" spans="1:11" customHeight="1" ht="40">
      <c r="A265" s="13" t="str">
        <f>IF($J265=0,"",IFERROR(_xlfn.IMAGE(INDEX('Прайс и заказ'!$O:$O,$J265)),""))</f>
      </c>
      <c r="B265" s="61" t="str">
        <f>IF($J265=0,"",IF(INDEX('Прайс и заказ'!B:B,$J265)="","",INDEX('Прайс и заказ'!B:B,$J265)))</f>
      </c>
      <c r="C265" s="64" t="str">
        <f>IF($J265=0,"",IF(INDEX('Прайс и заказ'!C:C,$J265)="","",INDEX('Прайс и заказ'!C:C,$J265)))</f>
      </c>
      <c r="D265" s="64" t="str">
        <f>IF($J265=0,"",IF(INDEX('Прайс и заказ'!D:D,$J265)="","",INDEX('Прайс и заказ'!D:D,$J265)))</f>
      </c>
      <c r="E265" s="61" t="str">
        <f>IF($J265=0,"",IF(INDEX('Прайс и заказ'!F:F,$J265)="","",INDEX('Прайс и заказ'!F:F,$J265)))</f>
      </c>
      <c r="F265" s="62" t="str">
        <f>IF($J265=0,"",IF(INDEX('Прайс и заказ'!I:I,$J265)="","",INDEX('Прайс и заказ'!I:I,$J265)))</f>
      </c>
      <c r="G265" s="63" t="str">
        <f>IF($J265=0,"",IF(INDEX('Прайс и заказ'!K:K,$J265)="","",INDEX('Прайс и заказ'!K:K,$J265)))</f>
      </c>
      <c r="H265" s="62" t="str">
        <f>IF($J265=0,"",IF(INDEX('Прайс и заказ'!L:L,$J265)="","",INDEX('Прайс и заказ'!L:L,$J265)))</f>
      </c>
      <c r="I265" s="13" t="str">
        <f>IF($J265=0,"",IF(INDEX('Прайс и заказ'!M:M,$J265)="","",INDEX('Прайс и заказ'!M:M,$J265)))</f>
      </c>
      <c r="J265" t="str">
        <f>IFERROR(MATCH(257,'Прайс и заказ'!$N$7:$N$435,0)+6,0)</f>
      </c>
    </row>
    <row r="266" spans="1:11" customHeight="1" ht="40">
      <c r="A266" s="13" t="str">
        <f>IF($J266=0,"",IFERROR(_xlfn.IMAGE(INDEX('Прайс и заказ'!$O:$O,$J266)),""))</f>
      </c>
      <c r="B266" s="61" t="str">
        <f>IF($J266=0,"",IF(INDEX('Прайс и заказ'!B:B,$J266)="","",INDEX('Прайс и заказ'!B:B,$J266)))</f>
      </c>
      <c r="C266" s="64" t="str">
        <f>IF($J266=0,"",IF(INDEX('Прайс и заказ'!C:C,$J266)="","",INDEX('Прайс и заказ'!C:C,$J266)))</f>
      </c>
      <c r="D266" s="64" t="str">
        <f>IF($J266=0,"",IF(INDEX('Прайс и заказ'!D:D,$J266)="","",INDEX('Прайс и заказ'!D:D,$J266)))</f>
      </c>
      <c r="E266" s="61" t="str">
        <f>IF($J266=0,"",IF(INDEX('Прайс и заказ'!F:F,$J266)="","",INDEX('Прайс и заказ'!F:F,$J266)))</f>
      </c>
      <c r="F266" s="62" t="str">
        <f>IF($J266=0,"",IF(INDEX('Прайс и заказ'!I:I,$J266)="","",INDEX('Прайс и заказ'!I:I,$J266)))</f>
      </c>
      <c r="G266" s="63" t="str">
        <f>IF($J266=0,"",IF(INDEX('Прайс и заказ'!K:K,$J266)="","",INDEX('Прайс и заказ'!K:K,$J266)))</f>
      </c>
      <c r="H266" s="62" t="str">
        <f>IF($J266=0,"",IF(INDEX('Прайс и заказ'!L:L,$J266)="","",INDEX('Прайс и заказ'!L:L,$J266)))</f>
      </c>
      <c r="I266" s="13" t="str">
        <f>IF($J266=0,"",IF(INDEX('Прайс и заказ'!M:M,$J266)="","",INDEX('Прайс и заказ'!M:M,$J266)))</f>
      </c>
      <c r="J266" t="str">
        <f>IFERROR(MATCH(258,'Прайс и заказ'!$N$7:$N$435,0)+6,0)</f>
      </c>
    </row>
    <row r="267" spans="1:11" customHeight="1" ht="40">
      <c r="A267" s="13" t="str">
        <f>IF($J267=0,"",IFERROR(_xlfn.IMAGE(INDEX('Прайс и заказ'!$O:$O,$J267)),""))</f>
      </c>
      <c r="B267" s="61" t="str">
        <f>IF($J267=0,"",IF(INDEX('Прайс и заказ'!B:B,$J267)="","",INDEX('Прайс и заказ'!B:B,$J267)))</f>
      </c>
      <c r="C267" s="64" t="str">
        <f>IF($J267=0,"",IF(INDEX('Прайс и заказ'!C:C,$J267)="","",INDEX('Прайс и заказ'!C:C,$J267)))</f>
      </c>
      <c r="D267" s="64" t="str">
        <f>IF($J267=0,"",IF(INDEX('Прайс и заказ'!D:D,$J267)="","",INDEX('Прайс и заказ'!D:D,$J267)))</f>
      </c>
      <c r="E267" s="61" t="str">
        <f>IF($J267=0,"",IF(INDEX('Прайс и заказ'!F:F,$J267)="","",INDEX('Прайс и заказ'!F:F,$J267)))</f>
      </c>
      <c r="F267" s="62" t="str">
        <f>IF($J267=0,"",IF(INDEX('Прайс и заказ'!I:I,$J267)="","",INDEX('Прайс и заказ'!I:I,$J267)))</f>
      </c>
      <c r="G267" s="63" t="str">
        <f>IF($J267=0,"",IF(INDEX('Прайс и заказ'!K:K,$J267)="","",INDEX('Прайс и заказ'!K:K,$J267)))</f>
      </c>
      <c r="H267" s="62" t="str">
        <f>IF($J267=0,"",IF(INDEX('Прайс и заказ'!L:L,$J267)="","",INDEX('Прайс и заказ'!L:L,$J267)))</f>
      </c>
      <c r="I267" s="13" t="str">
        <f>IF($J267=0,"",IF(INDEX('Прайс и заказ'!M:M,$J267)="","",INDEX('Прайс и заказ'!M:M,$J267)))</f>
      </c>
      <c r="J267" t="str">
        <f>IFERROR(MATCH(259,'Прайс и заказ'!$N$7:$N$435,0)+6,0)</f>
      </c>
    </row>
    <row r="268" spans="1:11" customHeight="1" ht="40">
      <c r="A268" s="13" t="str">
        <f>IF($J268=0,"",IFERROR(_xlfn.IMAGE(INDEX('Прайс и заказ'!$O:$O,$J268)),""))</f>
      </c>
      <c r="B268" s="61" t="str">
        <f>IF($J268=0,"",IF(INDEX('Прайс и заказ'!B:B,$J268)="","",INDEX('Прайс и заказ'!B:B,$J268)))</f>
      </c>
      <c r="C268" s="64" t="str">
        <f>IF($J268=0,"",IF(INDEX('Прайс и заказ'!C:C,$J268)="","",INDEX('Прайс и заказ'!C:C,$J268)))</f>
      </c>
      <c r="D268" s="64" t="str">
        <f>IF($J268=0,"",IF(INDEX('Прайс и заказ'!D:D,$J268)="","",INDEX('Прайс и заказ'!D:D,$J268)))</f>
      </c>
      <c r="E268" s="61" t="str">
        <f>IF($J268=0,"",IF(INDEX('Прайс и заказ'!F:F,$J268)="","",INDEX('Прайс и заказ'!F:F,$J268)))</f>
      </c>
      <c r="F268" s="62" t="str">
        <f>IF($J268=0,"",IF(INDEX('Прайс и заказ'!I:I,$J268)="","",INDEX('Прайс и заказ'!I:I,$J268)))</f>
      </c>
      <c r="G268" s="63" t="str">
        <f>IF($J268=0,"",IF(INDEX('Прайс и заказ'!K:K,$J268)="","",INDEX('Прайс и заказ'!K:K,$J268)))</f>
      </c>
      <c r="H268" s="62" t="str">
        <f>IF($J268=0,"",IF(INDEX('Прайс и заказ'!L:L,$J268)="","",INDEX('Прайс и заказ'!L:L,$J268)))</f>
      </c>
      <c r="I268" s="13" t="str">
        <f>IF($J268=0,"",IF(INDEX('Прайс и заказ'!M:M,$J268)="","",INDEX('Прайс и заказ'!M:M,$J268)))</f>
      </c>
      <c r="J268" t="str">
        <f>IFERROR(MATCH(260,'Прайс и заказ'!$N$7:$N$435,0)+6,0)</f>
      </c>
    </row>
    <row r="269" spans="1:11" customHeight="1" ht="40">
      <c r="A269" s="13" t="str">
        <f>IF($J269=0,"",IFERROR(_xlfn.IMAGE(INDEX('Прайс и заказ'!$O:$O,$J269)),""))</f>
      </c>
      <c r="B269" s="61" t="str">
        <f>IF($J269=0,"",IF(INDEX('Прайс и заказ'!B:B,$J269)="","",INDEX('Прайс и заказ'!B:B,$J269)))</f>
      </c>
      <c r="C269" s="64" t="str">
        <f>IF($J269=0,"",IF(INDEX('Прайс и заказ'!C:C,$J269)="","",INDEX('Прайс и заказ'!C:C,$J269)))</f>
      </c>
      <c r="D269" s="64" t="str">
        <f>IF($J269=0,"",IF(INDEX('Прайс и заказ'!D:D,$J269)="","",INDEX('Прайс и заказ'!D:D,$J269)))</f>
      </c>
      <c r="E269" s="61" t="str">
        <f>IF($J269=0,"",IF(INDEX('Прайс и заказ'!F:F,$J269)="","",INDEX('Прайс и заказ'!F:F,$J269)))</f>
      </c>
      <c r="F269" s="62" t="str">
        <f>IF($J269=0,"",IF(INDEX('Прайс и заказ'!I:I,$J269)="","",INDEX('Прайс и заказ'!I:I,$J269)))</f>
      </c>
      <c r="G269" s="63" t="str">
        <f>IF($J269=0,"",IF(INDEX('Прайс и заказ'!K:K,$J269)="","",INDEX('Прайс и заказ'!K:K,$J269)))</f>
      </c>
      <c r="H269" s="62" t="str">
        <f>IF($J269=0,"",IF(INDEX('Прайс и заказ'!L:L,$J269)="","",INDEX('Прайс и заказ'!L:L,$J269)))</f>
      </c>
      <c r="I269" s="13" t="str">
        <f>IF($J269=0,"",IF(INDEX('Прайс и заказ'!M:M,$J269)="","",INDEX('Прайс и заказ'!M:M,$J269)))</f>
      </c>
      <c r="J269" t="str">
        <f>IFERROR(MATCH(261,'Прайс и заказ'!$N$7:$N$435,0)+6,0)</f>
      </c>
    </row>
    <row r="270" spans="1:11" customHeight="1" ht="40">
      <c r="A270" s="13" t="str">
        <f>IF($J270=0,"",IFERROR(_xlfn.IMAGE(INDEX('Прайс и заказ'!$O:$O,$J270)),""))</f>
      </c>
      <c r="B270" s="61" t="str">
        <f>IF($J270=0,"",IF(INDEX('Прайс и заказ'!B:B,$J270)="","",INDEX('Прайс и заказ'!B:B,$J270)))</f>
      </c>
      <c r="C270" s="64" t="str">
        <f>IF($J270=0,"",IF(INDEX('Прайс и заказ'!C:C,$J270)="","",INDEX('Прайс и заказ'!C:C,$J270)))</f>
      </c>
      <c r="D270" s="64" t="str">
        <f>IF($J270=0,"",IF(INDEX('Прайс и заказ'!D:D,$J270)="","",INDEX('Прайс и заказ'!D:D,$J270)))</f>
      </c>
      <c r="E270" s="61" t="str">
        <f>IF($J270=0,"",IF(INDEX('Прайс и заказ'!F:F,$J270)="","",INDEX('Прайс и заказ'!F:F,$J270)))</f>
      </c>
      <c r="F270" s="62" t="str">
        <f>IF($J270=0,"",IF(INDEX('Прайс и заказ'!I:I,$J270)="","",INDEX('Прайс и заказ'!I:I,$J270)))</f>
      </c>
      <c r="G270" s="63" t="str">
        <f>IF($J270=0,"",IF(INDEX('Прайс и заказ'!K:K,$J270)="","",INDEX('Прайс и заказ'!K:K,$J270)))</f>
      </c>
      <c r="H270" s="62" t="str">
        <f>IF($J270=0,"",IF(INDEX('Прайс и заказ'!L:L,$J270)="","",INDEX('Прайс и заказ'!L:L,$J270)))</f>
      </c>
      <c r="I270" s="13" t="str">
        <f>IF($J270=0,"",IF(INDEX('Прайс и заказ'!M:M,$J270)="","",INDEX('Прайс и заказ'!M:M,$J270)))</f>
      </c>
      <c r="J270" t="str">
        <f>IFERROR(MATCH(262,'Прайс и заказ'!$N$7:$N$435,0)+6,0)</f>
      </c>
    </row>
    <row r="271" spans="1:11" customHeight="1" ht="40">
      <c r="A271" s="13" t="str">
        <f>IF($J271=0,"",IFERROR(_xlfn.IMAGE(INDEX('Прайс и заказ'!$O:$O,$J271)),""))</f>
      </c>
      <c r="B271" s="61" t="str">
        <f>IF($J271=0,"",IF(INDEX('Прайс и заказ'!B:B,$J271)="","",INDEX('Прайс и заказ'!B:B,$J271)))</f>
      </c>
      <c r="C271" s="64" t="str">
        <f>IF($J271=0,"",IF(INDEX('Прайс и заказ'!C:C,$J271)="","",INDEX('Прайс и заказ'!C:C,$J271)))</f>
      </c>
      <c r="D271" s="64" t="str">
        <f>IF($J271=0,"",IF(INDEX('Прайс и заказ'!D:D,$J271)="","",INDEX('Прайс и заказ'!D:D,$J271)))</f>
      </c>
      <c r="E271" s="61" t="str">
        <f>IF($J271=0,"",IF(INDEX('Прайс и заказ'!F:F,$J271)="","",INDEX('Прайс и заказ'!F:F,$J271)))</f>
      </c>
      <c r="F271" s="62" t="str">
        <f>IF($J271=0,"",IF(INDEX('Прайс и заказ'!I:I,$J271)="","",INDEX('Прайс и заказ'!I:I,$J271)))</f>
      </c>
      <c r="G271" s="63" t="str">
        <f>IF($J271=0,"",IF(INDEX('Прайс и заказ'!K:K,$J271)="","",INDEX('Прайс и заказ'!K:K,$J271)))</f>
      </c>
      <c r="H271" s="62" t="str">
        <f>IF($J271=0,"",IF(INDEX('Прайс и заказ'!L:L,$J271)="","",INDEX('Прайс и заказ'!L:L,$J271)))</f>
      </c>
      <c r="I271" s="13" t="str">
        <f>IF($J271=0,"",IF(INDEX('Прайс и заказ'!M:M,$J271)="","",INDEX('Прайс и заказ'!M:M,$J271)))</f>
      </c>
      <c r="J271" t="str">
        <f>IFERROR(MATCH(263,'Прайс и заказ'!$N$7:$N$435,0)+6,0)</f>
      </c>
    </row>
    <row r="272" spans="1:11" customHeight="1" ht="40">
      <c r="A272" s="13" t="str">
        <f>IF($J272=0,"",IFERROR(_xlfn.IMAGE(INDEX('Прайс и заказ'!$O:$O,$J272)),""))</f>
      </c>
      <c r="B272" s="61" t="str">
        <f>IF($J272=0,"",IF(INDEX('Прайс и заказ'!B:B,$J272)="","",INDEX('Прайс и заказ'!B:B,$J272)))</f>
      </c>
      <c r="C272" s="64" t="str">
        <f>IF($J272=0,"",IF(INDEX('Прайс и заказ'!C:C,$J272)="","",INDEX('Прайс и заказ'!C:C,$J272)))</f>
      </c>
      <c r="D272" s="64" t="str">
        <f>IF($J272=0,"",IF(INDEX('Прайс и заказ'!D:D,$J272)="","",INDEX('Прайс и заказ'!D:D,$J272)))</f>
      </c>
      <c r="E272" s="61" t="str">
        <f>IF($J272=0,"",IF(INDEX('Прайс и заказ'!F:F,$J272)="","",INDEX('Прайс и заказ'!F:F,$J272)))</f>
      </c>
      <c r="F272" s="62" t="str">
        <f>IF($J272=0,"",IF(INDEX('Прайс и заказ'!I:I,$J272)="","",INDEX('Прайс и заказ'!I:I,$J272)))</f>
      </c>
      <c r="G272" s="63" t="str">
        <f>IF($J272=0,"",IF(INDEX('Прайс и заказ'!K:K,$J272)="","",INDEX('Прайс и заказ'!K:K,$J272)))</f>
      </c>
      <c r="H272" s="62" t="str">
        <f>IF($J272=0,"",IF(INDEX('Прайс и заказ'!L:L,$J272)="","",INDEX('Прайс и заказ'!L:L,$J272)))</f>
      </c>
      <c r="I272" s="13" t="str">
        <f>IF($J272=0,"",IF(INDEX('Прайс и заказ'!M:M,$J272)="","",INDEX('Прайс и заказ'!M:M,$J272)))</f>
      </c>
      <c r="J272" t="str">
        <f>IFERROR(MATCH(264,'Прайс и заказ'!$N$7:$N$435,0)+6,0)</f>
      </c>
    </row>
    <row r="273" spans="1:11" customHeight="1" ht="40">
      <c r="A273" s="13" t="str">
        <f>IF($J273=0,"",IFERROR(_xlfn.IMAGE(INDEX('Прайс и заказ'!$O:$O,$J273)),""))</f>
      </c>
      <c r="B273" s="61" t="str">
        <f>IF($J273=0,"",IF(INDEX('Прайс и заказ'!B:B,$J273)="","",INDEX('Прайс и заказ'!B:B,$J273)))</f>
      </c>
      <c r="C273" s="64" t="str">
        <f>IF($J273=0,"",IF(INDEX('Прайс и заказ'!C:C,$J273)="","",INDEX('Прайс и заказ'!C:C,$J273)))</f>
      </c>
      <c r="D273" s="64" t="str">
        <f>IF($J273=0,"",IF(INDEX('Прайс и заказ'!D:D,$J273)="","",INDEX('Прайс и заказ'!D:D,$J273)))</f>
      </c>
      <c r="E273" s="61" t="str">
        <f>IF($J273=0,"",IF(INDEX('Прайс и заказ'!F:F,$J273)="","",INDEX('Прайс и заказ'!F:F,$J273)))</f>
      </c>
      <c r="F273" s="62" t="str">
        <f>IF($J273=0,"",IF(INDEX('Прайс и заказ'!I:I,$J273)="","",INDEX('Прайс и заказ'!I:I,$J273)))</f>
      </c>
      <c r="G273" s="63" t="str">
        <f>IF($J273=0,"",IF(INDEX('Прайс и заказ'!K:K,$J273)="","",INDEX('Прайс и заказ'!K:K,$J273)))</f>
      </c>
      <c r="H273" s="62" t="str">
        <f>IF($J273=0,"",IF(INDEX('Прайс и заказ'!L:L,$J273)="","",INDEX('Прайс и заказ'!L:L,$J273)))</f>
      </c>
      <c r="I273" s="13" t="str">
        <f>IF($J273=0,"",IF(INDEX('Прайс и заказ'!M:M,$J273)="","",INDEX('Прайс и заказ'!M:M,$J273)))</f>
      </c>
      <c r="J273" t="str">
        <f>IFERROR(MATCH(265,'Прайс и заказ'!$N$7:$N$435,0)+6,0)</f>
      </c>
    </row>
    <row r="274" spans="1:11" customHeight="1" ht="40">
      <c r="A274" s="13" t="str">
        <f>IF($J274=0,"",IFERROR(_xlfn.IMAGE(INDEX('Прайс и заказ'!$O:$O,$J274)),""))</f>
      </c>
      <c r="B274" s="61" t="str">
        <f>IF($J274=0,"",IF(INDEX('Прайс и заказ'!B:B,$J274)="","",INDEX('Прайс и заказ'!B:B,$J274)))</f>
      </c>
      <c r="C274" s="64" t="str">
        <f>IF($J274=0,"",IF(INDEX('Прайс и заказ'!C:C,$J274)="","",INDEX('Прайс и заказ'!C:C,$J274)))</f>
      </c>
      <c r="D274" s="64" t="str">
        <f>IF($J274=0,"",IF(INDEX('Прайс и заказ'!D:D,$J274)="","",INDEX('Прайс и заказ'!D:D,$J274)))</f>
      </c>
      <c r="E274" s="61" t="str">
        <f>IF($J274=0,"",IF(INDEX('Прайс и заказ'!F:F,$J274)="","",INDEX('Прайс и заказ'!F:F,$J274)))</f>
      </c>
      <c r="F274" s="62" t="str">
        <f>IF($J274=0,"",IF(INDEX('Прайс и заказ'!I:I,$J274)="","",INDEX('Прайс и заказ'!I:I,$J274)))</f>
      </c>
      <c r="G274" s="63" t="str">
        <f>IF($J274=0,"",IF(INDEX('Прайс и заказ'!K:K,$J274)="","",INDEX('Прайс и заказ'!K:K,$J274)))</f>
      </c>
      <c r="H274" s="62" t="str">
        <f>IF($J274=0,"",IF(INDEX('Прайс и заказ'!L:L,$J274)="","",INDEX('Прайс и заказ'!L:L,$J274)))</f>
      </c>
      <c r="I274" s="13" t="str">
        <f>IF($J274=0,"",IF(INDEX('Прайс и заказ'!M:M,$J274)="","",INDEX('Прайс и заказ'!M:M,$J274)))</f>
      </c>
      <c r="J274" t="str">
        <f>IFERROR(MATCH(266,'Прайс и заказ'!$N$7:$N$435,0)+6,0)</f>
      </c>
    </row>
    <row r="275" spans="1:11" customHeight="1" ht="40">
      <c r="A275" s="13" t="str">
        <f>IF($J275=0,"",IFERROR(_xlfn.IMAGE(INDEX('Прайс и заказ'!$O:$O,$J275)),""))</f>
      </c>
      <c r="B275" s="61" t="str">
        <f>IF($J275=0,"",IF(INDEX('Прайс и заказ'!B:B,$J275)="","",INDEX('Прайс и заказ'!B:B,$J275)))</f>
      </c>
      <c r="C275" s="64" t="str">
        <f>IF($J275=0,"",IF(INDEX('Прайс и заказ'!C:C,$J275)="","",INDEX('Прайс и заказ'!C:C,$J275)))</f>
      </c>
      <c r="D275" s="64" t="str">
        <f>IF($J275=0,"",IF(INDEX('Прайс и заказ'!D:D,$J275)="","",INDEX('Прайс и заказ'!D:D,$J275)))</f>
      </c>
      <c r="E275" s="61" t="str">
        <f>IF($J275=0,"",IF(INDEX('Прайс и заказ'!F:F,$J275)="","",INDEX('Прайс и заказ'!F:F,$J275)))</f>
      </c>
      <c r="F275" s="62" t="str">
        <f>IF($J275=0,"",IF(INDEX('Прайс и заказ'!I:I,$J275)="","",INDEX('Прайс и заказ'!I:I,$J275)))</f>
      </c>
      <c r="G275" s="63" t="str">
        <f>IF($J275=0,"",IF(INDEX('Прайс и заказ'!K:K,$J275)="","",INDEX('Прайс и заказ'!K:K,$J275)))</f>
      </c>
      <c r="H275" s="62" t="str">
        <f>IF($J275=0,"",IF(INDEX('Прайс и заказ'!L:L,$J275)="","",INDEX('Прайс и заказ'!L:L,$J275)))</f>
      </c>
      <c r="I275" s="13" t="str">
        <f>IF($J275=0,"",IF(INDEX('Прайс и заказ'!M:M,$J275)="","",INDEX('Прайс и заказ'!M:M,$J275)))</f>
      </c>
      <c r="J275" t="str">
        <f>IFERROR(MATCH(267,'Прайс и заказ'!$N$7:$N$435,0)+6,0)</f>
      </c>
    </row>
    <row r="276" spans="1:11" customHeight="1" ht="40">
      <c r="A276" s="13" t="str">
        <f>IF($J276=0,"",IFERROR(_xlfn.IMAGE(INDEX('Прайс и заказ'!$O:$O,$J276)),""))</f>
      </c>
      <c r="B276" s="61" t="str">
        <f>IF($J276=0,"",IF(INDEX('Прайс и заказ'!B:B,$J276)="","",INDEX('Прайс и заказ'!B:B,$J276)))</f>
      </c>
      <c r="C276" s="64" t="str">
        <f>IF($J276=0,"",IF(INDEX('Прайс и заказ'!C:C,$J276)="","",INDEX('Прайс и заказ'!C:C,$J276)))</f>
      </c>
      <c r="D276" s="64" t="str">
        <f>IF($J276=0,"",IF(INDEX('Прайс и заказ'!D:D,$J276)="","",INDEX('Прайс и заказ'!D:D,$J276)))</f>
      </c>
      <c r="E276" s="61" t="str">
        <f>IF($J276=0,"",IF(INDEX('Прайс и заказ'!F:F,$J276)="","",INDEX('Прайс и заказ'!F:F,$J276)))</f>
      </c>
      <c r="F276" s="62" t="str">
        <f>IF($J276=0,"",IF(INDEX('Прайс и заказ'!I:I,$J276)="","",INDEX('Прайс и заказ'!I:I,$J276)))</f>
      </c>
      <c r="G276" s="63" t="str">
        <f>IF($J276=0,"",IF(INDEX('Прайс и заказ'!K:K,$J276)="","",INDEX('Прайс и заказ'!K:K,$J276)))</f>
      </c>
      <c r="H276" s="62" t="str">
        <f>IF($J276=0,"",IF(INDEX('Прайс и заказ'!L:L,$J276)="","",INDEX('Прайс и заказ'!L:L,$J276)))</f>
      </c>
      <c r="I276" s="13" t="str">
        <f>IF($J276=0,"",IF(INDEX('Прайс и заказ'!M:M,$J276)="","",INDEX('Прайс и заказ'!M:M,$J276)))</f>
      </c>
      <c r="J276" t="str">
        <f>IFERROR(MATCH(268,'Прайс и заказ'!$N$7:$N$435,0)+6,0)</f>
      </c>
    </row>
    <row r="277" spans="1:11" customHeight="1" ht="40">
      <c r="A277" s="13" t="str">
        <f>IF($J277=0,"",IFERROR(_xlfn.IMAGE(INDEX('Прайс и заказ'!$O:$O,$J277)),""))</f>
      </c>
      <c r="B277" s="61" t="str">
        <f>IF($J277=0,"",IF(INDEX('Прайс и заказ'!B:B,$J277)="","",INDEX('Прайс и заказ'!B:B,$J277)))</f>
      </c>
      <c r="C277" s="64" t="str">
        <f>IF($J277=0,"",IF(INDEX('Прайс и заказ'!C:C,$J277)="","",INDEX('Прайс и заказ'!C:C,$J277)))</f>
      </c>
      <c r="D277" s="64" t="str">
        <f>IF($J277=0,"",IF(INDEX('Прайс и заказ'!D:D,$J277)="","",INDEX('Прайс и заказ'!D:D,$J277)))</f>
      </c>
      <c r="E277" s="61" t="str">
        <f>IF($J277=0,"",IF(INDEX('Прайс и заказ'!F:F,$J277)="","",INDEX('Прайс и заказ'!F:F,$J277)))</f>
      </c>
      <c r="F277" s="62" t="str">
        <f>IF($J277=0,"",IF(INDEX('Прайс и заказ'!I:I,$J277)="","",INDEX('Прайс и заказ'!I:I,$J277)))</f>
      </c>
      <c r="G277" s="63" t="str">
        <f>IF($J277=0,"",IF(INDEX('Прайс и заказ'!K:K,$J277)="","",INDEX('Прайс и заказ'!K:K,$J277)))</f>
      </c>
      <c r="H277" s="62" t="str">
        <f>IF($J277=0,"",IF(INDEX('Прайс и заказ'!L:L,$J277)="","",INDEX('Прайс и заказ'!L:L,$J277)))</f>
      </c>
      <c r="I277" s="13" t="str">
        <f>IF($J277=0,"",IF(INDEX('Прайс и заказ'!M:M,$J277)="","",INDEX('Прайс и заказ'!M:M,$J277)))</f>
      </c>
      <c r="J277" t="str">
        <f>IFERROR(MATCH(269,'Прайс и заказ'!$N$7:$N$435,0)+6,0)</f>
      </c>
    </row>
    <row r="278" spans="1:11" customHeight="1" ht="40">
      <c r="A278" s="13" t="str">
        <f>IF($J278=0,"",IFERROR(_xlfn.IMAGE(INDEX('Прайс и заказ'!$O:$O,$J278)),""))</f>
      </c>
      <c r="B278" s="61" t="str">
        <f>IF($J278=0,"",IF(INDEX('Прайс и заказ'!B:B,$J278)="","",INDEX('Прайс и заказ'!B:B,$J278)))</f>
      </c>
      <c r="C278" s="64" t="str">
        <f>IF($J278=0,"",IF(INDEX('Прайс и заказ'!C:C,$J278)="","",INDEX('Прайс и заказ'!C:C,$J278)))</f>
      </c>
      <c r="D278" s="64" t="str">
        <f>IF($J278=0,"",IF(INDEX('Прайс и заказ'!D:D,$J278)="","",INDEX('Прайс и заказ'!D:D,$J278)))</f>
      </c>
      <c r="E278" s="61" t="str">
        <f>IF($J278=0,"",IF(INDEX('Прайс и заказ'!F:F,$J278)="","",INDEX('Прайс и заказ'!F:F,$J278)))</f>
      </c>
      <c r="F278" s="62" t="str">
        <f>IF($J278=0,"",IF(INDEX('Прайс и заказ'!I:I,$J278)="","",INDEX('Прайс и заказ'!I:I,$J278)))</f>
      </c>
      <c r="G278" s="63" t="str">
        <f>IF($J278=0,"",IF(INDEX('Прайс и заказ'!K:K,$J278)="","",INDEX('Прайс и заказ'!K:K,$J278)))</f>
      </c>
      <c r="H278" s="62" t="str">
        <f>IF($J278=0,"",IF(INDEX('Прайс и заказ'!L:L,$J278)="","",INDEX('Прайс и заказ'!L:L,$J278)))</f>
      </c>
      <c r="I278" s="13" t="str">
        <f>IF($J278=0,"",IF(INDEX('Прайс и заказ'!M:M,$J278)="","",INDEX('Прайс и заказ'!M:M,$J278)))</f>
      </c>
      <c r="J278" t="str">
        <f>IFERROR(MATCH(270,'Прайс и заказ'!$N$7:$N$435,0)+6,0)</f>
      </c>
    </row>
    <row r="279" spans="1:11" customHeight="1" ht="40">
      <c r="A279" s="13" t="str">
        <f>IF($J279=0,"",IFERROR(_xlfn.IMAGE(INDEX('Прайс и заказ'!$O:$O,$J279)),""))</f>
      </c>
      <c r="B279" s="61" t="str">
        <f>IF($J279=0,"",IF(INDEX('Прайс и заказ'!B:B,$J279)="","",INDEX('Прайс и заказ'!B:B,$J279)))</f>
      </c>
      <c r="C279" s="64" t="str">
        <f>IF($J279=0,"",IF(INDEX('Прайс и заказ'!C:C,$J279)="","",INDEX('Прайс и заказ'!C:C,$J279)))</f>
      </c>
      <c r="D279" s="64" t="str">
        <f>IF($J279=0,"",IF(INDEX('Прайс и заказ'!D:D,$J279)="","",INDEX('Прайс и заказ'!D:D,$J279)))</f>
      </c>
      <c r="E279" s="61" t="str">
        <f>IF($J279=0,"",IF(INDEX('Прайс и заказ'!F:F,$J279)="","",INDEX('Прайс и заказ'!F:F,$J279)))</f>
      </c>
      <c r="F279" s="62" t="str">
        <f>IF($J279=0,"",IF(INDEX('Прайс и заказ'!I:I,$J279)="","",INDEX('Прайс и заказ'!I:I,$J279)))</f>
      </c>
      <c r="G279" s="63" t="str">
        <f>IF($J279=0,"",IF(INDEX('Прайс и заказ'!K:K,$J279)="","",INDEX('Прайс и заказ'!K:K,$J279)))</f>
      </c>
      <c r="H279" s="62" t="str">
        <f>IF($J279=0,"",IF(INDEX('Прайс и заказ'!L:L,$J279)="","",INDEX('Прайс и заказ'!L:L,$J279)))</f>
      </c>
      <c r="I279" s="13" t="str">
        <f>IF($J279=0,"",IF(INDEX('Прайс и заказ'!M:M,$J279)="","",INDEX('Прайс и заказ'!M:M,$J279)))</f>
      </c>
      <c r="J279" t="str">
        <f>IFERROR(MATCH(271,'Прайс и заказ'!$N$7:$N$435,0)+6,0)</f>
      </c>
    </row>
    <row r="280" spans="1:11" customHeight="1" ht="40">
      <c r="A280" s="13" t="str">
        <f>IF($J280=0,"",IFERROR(_xlfn.IMAGE(INDEX('Прайс и заказ'!$O:$O,$J280)),""))</f>
      </c>
      <c r="B280" s="61" t="str">
        <f>IF($J280=0,"",IF(INDEX('Прайс и заказ'!B:B,$J280)="","",INDEX('Прайс и заказ'!B:B,$J280)))</f>
      </c>
      <c r="C280" s="64" t="str">
        <f>IF($J280=0,"",IF(INDEX('Прайс и заказ'!C:C,$J280)="","",INDEX('Прайс и заказ'!C:C,$J280)))</f>
      </c>
      <c r="D280" s="64" t="str">
        <f>IF($J280=0,"",IF(INDEX('Прайс и заказ'!D:D,$J280)="","",INDEX('Прайс и заказ'!D:D,$J280)))</f>
      </c>
      <c r="E280" s="61" t="str">
        <f>IF($J280=0,"",IF(INDEX('Прайс и заказ'!F:F,$J280)="","",INDEX('Прайс и заказ'!F:F,$J280)))</f>
      </c>
      <c r="F280" s="62" t="str">
        <f>IF($J280=0,"",IF(INDEX('Прайс и заказ'!I:I,$J280)="","",INDEX('Прайс и заказ'!I:I,$J280)))</f>
      </c>
      <c r="G280" s="63" t="str">
        <f>IF($J280=0,"",IF(INDEX('Прайс и заказ'!K:K,$J280)="","",INDEX('Прайс и заказ'!K:K,$J280)))</f>
      </c>
      <c r="H280" s="62" t="str">
        <f>IF($J280=0,"",IF(INDEX('Прайс и заказ'!L:L,$J280)="","",INDEX('Прайс и заказ'!L:L,$J280)))</f>
      </c>
      <c r="I280" s="13" t="str">
        <f>IF($J280=0,"",IF(INDEX('Прайс и заказ'!M:M,$J280)="","",INDEX('Прайс и заказ'!M:M,$J280)))</f>
      </c>
      <c r="J280" t="str">
        <f>IFERROR(MATCH(272,'Прайс и заказ'!$N$7:$N$435,0)+6,0)</f>
      </c>
    </row>
    <row r="281" spans="1:11" customHeight="1" ht="40">
      <c r="A281" s="13" t="str">
        <f>IF($J281=0,"",IFERROR(_xlfn.IMAGE(INDEX('Прайс и заказ'!$O:$O,$J281)),""))</f>
      </c>
      <c r="B281" s="61" t="str">
        <f>IF($J281=0,"",IF(INDEX('Прайс и заказ'!B:B,$J281)="","",INDEX('Прайс и заказ'!B:B,$J281)))</f>
      </c>
      <c r="C281" s="64" t="str">
        <f>IF($J281=0,"",IF(INDEX('Прайс и заказ'!C:C,$J281)="","",INDEX('Прайс и заказ'!C:C,$J281)))</f>
      </c>
      <c r="D281" s="64" t="str">
        <f>IF($J281=0,"",IF(INDEX('Прайс и заказ'!D:D,$J281)="","",INDEX('Прайс и заказ'!D:D,$J281)))</f>
      </c>
      <c r="E281" s="61" t="str">
        <f>IF($J281=0,"",IF(INDEX('Прайс и заказ'!F:F,$J281)="","",INDEX('Прайс и заказ'!F:F,$J281)))</f>
      </c>
      <c r="F281" s="62" t="str">
        <f>IF($J281=0,"",IF(INDEX('Прайс и заказ'!I:I,$J281)="","",INDEX('Прайс и заказ'!I:I,$J281)))</f>
      </c>
      <c r="G281" s="63" t="str">
        <f>IF($J281=0,"",IF(INDEX('Прайс и заказ'!K:K,$J281)="","",INDEX('Прайс и заказ'!K:K,$J281)))</f>
      </c>
      <c r="H281" s="62" t="str">
        <f>IF($J281=0,"",IF(INDEX('Прайс и заказ'!L:L,$J281)="","",INDEX('Прайс и заказ'!L:L,$J281)))</f>
      </c>
      <c r="I281" s="13" t="str">
        <f>IF($J281=0,"",IF(INDEX('Прайс и заказ'!M:M,$J281)="","",INDEX('Прайс и заказ'!M:M,$J281)))</f>
      </c>
      <c r="J281" t="str">
        <f>IFERROR(MATCH(273,'Прайс и заказ'!$N$7:$N$435,0)+6,0)</f>
      </c>
    </row>
    <row r="282" spans="1:11" customHeight="1" ht="40">
      <c r="A282" s="13" t="str">
        <f>IF($J282=0,"",IFERROR(_xlfn.IMAGE(INDEX('Прайс и заказ'!$O:$O,$J282)),""))</f>
      </c>
      <c r="B282" s="61" t="str">
        <f>IF($J282=0,"",IF(INDEX('Прайс и заказ'!B:B,$J282)="","",INDEX('Прайс и заказ'!B:B,$J282)))</f>
      </c>
      <c r="C282" s="64" t="str">
        <f>IF($J282=0,"",IF(INDEX('Прайс и заказ'!C:C,$J282)="","",INDEX('Прайс и заказ'!C:C,$J282)))</f>
      </c>
      <c r="D282" s="64" t="str">
        <f>IF($J282=0,"",IF(INDEX('Прайс и заказ'!D:D,$J282)="","",INDEX('Прайс и заказ'!D:D,$J282)))</f>
      </c>
      <c r="E282" s="61" t="str">
        <f>IF($J282=0,"",IF(INDEX('Прайс и заказ'!F:F,$J282)="","",INDEX('Прайс и заказ'!F:F,$J282)))</f>
      </c>
      <c r="F282" s="62" t="str">
        <f>IF($J282=0,"",IF(INDEX('Прайс и заказ'!I:I,$J282)="","",INDEX('Прайс и заказ'!I:I,$J282)))</f>
      </c>
      <c r="G282" s="63" t="str">
        <f>IF($J282=0,"",IF(INDEX('Прайс и заказ'!K:K,$J282)="","",INDEX('Прайс и заказ'!K:K,$J282)))</f>
      </c>
      <c r="H282" s="62" t="str">
        <f>IF($J282=0,"",IF(INDEX('Прайс и заказ'!L:L,$J282)="","",INDEX('Прайс и заказ'!L:L,$J282)))</f>
      </c>
      <c r="I282" s="13" t="str">
        <f>IF($J282=0,"",IF(INDEX('Прайс и заказ'!M:M,$J282)="","",INDEX('Прайс и заказ'!M:M,$J282)))</f>
      </c>
      <c r="J282" t="str">
        <f>IFERROR(MATCH(274,'Прайс и заказ'!$N$7:$N$435,0)+6,0)</f>
      </c>
    </row>
    <row r="283" spans="1:11" customHeight="1" ht="40">
      <c r="A283" s="13" t="str">
        <f>IF($J283=0,"",IFERROR(_xlfn.IMAGE(INDEX('Прайс и заказ'!$O:$O,$J283)),""))</f>
      </c>
      <c r="B283" s="61" t="str">
        <f>IF($J283=0,"",IF(INDEX('Прайс и заказ'!B:B,$J283)="","",INDEX('Прайс и заказ'!B:B,$J283)))</f>
      </c>
      <c r="C283" s="64" t="str">
        <f>IF($J283=0,"",IF(INDEX('Прайс и заказ'!C:C,$J283)="","",INDEX('Прайс и заказ'!C:C,$J283)))</f>
      </c>
      <c r="D283" s="64" t="str">
        <f>IF($J283=0,"",IF(INDEX('Прайс и заказ'!D:D,$J283)="","",INDEX('Прайс и заказ'!D:D,$J283)))</f>
      </c>
      <c r="E283" s="61" t="str">
        <f>IF($J283=0,"",IF(INDEX('Прайс и заказ'!F:F,$J283)="","",INDEX('Прайс и заказ'!F:F,$J283)))</f>
      </c>
      <c r="F283" s="62" t="str">
        <f>IF($J283=0,"",IF(INDEX('Прайс и заказ'!I:I,$J283)="","",INDEX('Прайс и заказ'!I:I,$J283)))</f>
      </c>
      <c r="G283" s="63" t="str">
        <f>IF($J283=0,"",IF(INDEX('Прайс и заказ'!K:K,$J283)="","",INDEX('Прайс и заказ'!K:K,$J283)))</f>
      </c>
      <c r="H283" s="62" t="str">
        <f>IF($J283=0,"",IF(INDEX('Прайс и заказ'!L:L,$J283)="","",INDEX('Прайс и заказ'!L:L,$J283)))</f>
      </c>
      <c r="I283" s="13" t="str">
        <f>IF($J283=0,"",IF(INDEX('Прайс и заказ'!M:M,$J283)="","",INDEX('Прайс и заказ'!M:M,$J283)))</f>
      </c>
      <c r="J283" t="str">
        <f>IFERROR(MATCH(275,'Прайс и заказ'!$N$7:$N$435,0)+6,0)</f>
      </c>
    </row>
    <row r="284" spans="1:11" customHeight="1" ht="40">
      <c r="A284" s="13" t="str">
        <f>IF($J284=0,"",IFERROR(_xlfn.IMAGE(INDEX('Прайс и заказ'!$O:$O,$J284)),""))</f>
      </c>
      <c r="B284" s="61" t="str">
        <f>IF($J284=0,"",IF(INDEX('Прайс и заказ'!B:B,$J284)="","",INDEX('Прайс и заказ'!B:B,$J284)))</f>
      </c>
      <c r="C284" s="64" t="str">
        <f>IF($J284=0,"",IF(INDEX('Прайс и заказ'!C:C,$J284)="","",INDEX('Прайс и заказ'!C:C,$J284)))</f>
      </c>
      <c r="D284" s="64" t="str">
        <f>IF($J284=0,"",IF(INDEX('Прайс и заказ'!D:D,$J284)="","",INDEX('Прайс и заказ'!D:D,$J284)))</f>
      </c>
      <c r="E284" s="61" t="str">
        <f>IF($J284=0,"",IF(INDEX('Прайс и заказ'!F:F,$J284)="","",INDEX('Прайс и заказ'!F:F,$J284)))</f>
      </c>
      <c r="F284" s="62" t="str">
        <f>IF($J284=0,"",IF(INDEX('Прайс и заказ'!I:I,$J284)="","",INDEX('Прайс и заказ'!I:I,$J284)))</f>
      </c>
      <c r="G284" s="63" t="str">
        <f>IF($J284=0,"",IF(INDEX('Прайс и заказ'!K:K,$J284)="","",INDEX('Прайс и заказ'!K:K,$J284)))</f>
      </c>
      <c r="H284" s="62" t="str">
        <f>IF($J284=0,"",IF(INDEX('Прайс и заказ'!L:L,$J284)="","",INDEX('Прайс и заказ'!L:L,$J284)))</f>
      </c>
      <c r="I284" s="13" t="str">
        <f>IF($J284=0,"",IF(INDEX('Прайс и заказ'!M:M,$J284)="","",INDEX('Прайс и заказ'!M:M,$J284)))</f>
      </c>
      <c r="J284" t="str">
        <f>IFERROR(MATCH(276,'Прайс и заказ'!$N$7:$N$435,0)+6,0)</f>
      </c>
    </row>
    <row r="285" spans="1:11" customHeight="1" ht="40">
      <c r="A285" s="13" t="str">
        <f>IF($J285=0,"",IFERROR(_xlfn.IMAGE(INDEX('Прайс и заказ'!$O:$O,$J285)),""))</f>
      </c>
      <c r="B285" s="61" t="str">
        <f>IF($J285=0,"",IF(INDEX('Прайс и заказ'!B:B,$J285)="","",INDEX('Прайс и заказ'!B:B,$J285)))</f>
      </c>
      <c r="C285" s="64" t="str">
        <f>IF($J285=0,"",IF(INDEX('Прайс и заказ'!C:C,$J285)="","",INDEX('Прайс и заказ'!C:C,$J285)))</f>
      </c>
      <c r="D285" s="64" t="str">
        <f>IF($J285=0,"",IF(INDEX('Прайс и заказ'!D:D,$J285)="","",INDEX('Прайс и заказ'!D:D,$J285)))</f>
      </c>
      <c r="E285" s="61" t="str">
        <f>IF($J285=0,"",IF(INDEX('Прайс и заказ'!F:F,$J285)="","",INDEX('Прайс и заказ'!F:F,$J285)))</f>
      </c>
      <c r="F285" s="62" t="str">
        <f>IF($J285=0,"",IF(INDEX('Прайс и заказ'!I:I,$J285)="","",INDEX('Прайс и заказ'!I:I,$J285)))</f>
      </c>
      <c r="G285" s="63" t="str">
        <f>IF($J285=0,"",IF(INDEX('Прайс и заказ'!K:K,$J285)="","",INDEX('Прайс и заказ'!K:K,$J285)))</f>
      </c>
      <c r="H285" s="62" t="str">
        <f>IF($J285=0,"",IF(INDEX('Прайс и заказ'!L:L,$J285)="","",INDEX('Прайс и заказ'!L:L,$J285)))</f>
      </c>
      <c r="I285" s="13" t="str">
        <f>IF($J285=0,"",IF(INDEX('Прайс и заказ'!M:M,$J285)="","",INDEX('Прайс и заказ'!M:M,$J285)))</f>
      </c>
      <c r="J285" t="str">
        <f>IFERROR(MATCH(277,'Прайс и заказ'!$N$7:$N$435,0)+6,0)</f>
      </c>
    </row>
    <row r="286" spans="1:11" customHeight="1" ht="40">
      <c r="A286" s="13" t="str">
        <f>IF($J286=0,"",IFERROR(_xlfn.IMAGE(INDEX('Прайс и заказ'!$O:$O,$J286)),""))</f>
      </c>
      <c r="B286" s="61" t="str">
        <f>IF($J286=0,"",IF(INDEX('Прайс и заказ'!B:B,$J286)="","",INDEX('Прайс и заказ'!B:B,$J286)))</f>
      </c>
      <c r="C286" s="64" t="str">
        <f>IF($J286=0,"",IF(INDEX('Прайс и заказ'!C:C,$J286)="","",INDEX('Прайс и заказ'!C:C,$J286)))</f>
      </c>
      <c r="D286" s="64" t="str">
        <f>IF($J286=0,"",IF(INDEX('Прайс и заказ'!D:D,$J286)="","",INDEX('Прайс и заказ'!D:D,$J286)))</f>
      </c>
      <c r="E286" s="61" t="str">
        <f>IF($J286=0,"",IF(INDEX('Прайс и заказ'!F:F,$J286)="","",INDEX('Прайс и заказ'!F:F,$J286)))</f>
      </c>
      <c r="F286" s="62" t="str">
        <f>IF($J286=0,"",IF(INDEX('Прайс и заказ'!I:I,$J286)="","",INDEX('Прайс и заказ'!I:I,$J286)))</f>
      </c>
      <c r="G286" s="63" t="str">
        <f>IF($J286=0,"",IF(INDEX('Прайс и заказ'!K:K,$J286)="","",INDEX('Прайс и заказ'!K:K,$J286)))</f>
      </c>
      <c r="H286" s="62" t="str">
        <f>IF($J286=0,"",IF(INDEX('Прайс и заказ'!L:L,$J286)="","",INDEX('Прайс и заказ'!L:L,$J286)))</f>
      </c>
      <c r="I286" s="13" t="str">
        <f>IF($J286=0,"",IF(INDEX('Прайс и заказ'!M:M,$J286)="","",INDEX('Прайс и заказ'!M:M,$J286)))</f>
      </c>
      <c r="J286" t="str">
        <f>IFERROR(MATCH(278,'Прайс и заказ'!$N$7:$N$435,0)+6,0)</f>
      </c>
    </row>
    <row r="287" spans="1:11" customHeight="1" ht="40">
      <c r="A287" s="13" t="str">
        <f>IF($J287=0,"",IFERROR(_xlfn.IMAGE(INDEX('Прайс и заказ'!$O:$O,$J287)),""))</f>
      </c>
      <c r="B287" s="61" t="str">
        <f>IF($J287=0,"",IF(INDEX('Прайс и заказ'!B:B,$J287)="","",INDEX('Прайс и заказ'!B:B,$J287)))</f>
      </c>
      <c r="C287" s="64" t="str">
        <f>IF($J287=0,"",IF(INDEX('Прайс и заказ'!C:C,$J287)="","",INDEX('Прайс и заказ'!C:C,$J287)))</f>
      </c>
      <c r="D287" s="64" t="str">
        <f>IF($J287=0,"",IF(INDEX('Прайс и заказ'!D:D,$J287)="","",INDEX('Прайс и заказ'!D:D,$J287)))</f>
      </c>
      <c r="E287" s="61" t="str">
        <f>IF($J287=0,"",IF(INDEX('Прайс и заказ'!F:F,$J287)="","",INDEX('Прайс и заказ'!F:F,$J287)))</f>
      </c>
      <c r="F287" s="62" t="str">
        <f>IF($J287=0,"",IF(INDEX('Прайс и заказ'!I:I,$J287)="","",INDEX('Прайс и заказ'!I:I,$J287)))</f>
      </c>
      <c r="G287" s="63" t="str">
        <f>IF($J287=0,"",IF(INDEX('Прайс и заказ'!K:K,$J287)="","",INDEX('Прайс и заказ'!K:K,$J287)))</f>
      </c>
      <c r="H287" s="62" t="str">
        <f>IF($J287=0,"",IF(INDEX('Прайс и заказ'!L:L,$J287)="","",INDEX('Прайс и заказ'!L:L,$J287)))</f>
      </c>
      <c r="I287" s="13" t="str">
        <f>IF($J287=0,"",IF(INDEX('Прайс и заказ'!M:M,$J287)="","",INDEX('Прайс и заказ'!M:M,$J287)))</f>
      </c>
      <c r="J287" t="str">
        <f>IFERROR(MATCH(279,'Прайс и заказ'!$N$7:$N$435,0)+6,0)</f>
      </c>
    </row>
    <row r="288" spans="1:11" customHeight="1" ht="40">
      <c r="A288" s="13" t="str">
        <f>IF($J288=0,"",IFERROR(_xlfn.IMAGE(INDEX('Прайс и заказ'!$O:$O,$J288)),""))</f>
      </c>
      <c r="B288" s="61" t="str">
        <f>IF($J288=0,"",IF(INDEX('Прайс и заказ'!B:B,$J288)="","",INDEX('Прайс и заказ'!B:B,$J288)))</f>
      </c>
      <c r="C288" s="64" t="str">
        <f>IF($J288=0,"",IF(INDEX('Прайс и заказ'!C:C,$J288)="","",INDEX('Прайс и заказ'!C:C,$J288)))</f>
      </c>
      <c r="D288" s="64" t="str">
        <f>IF($J288=0,"",IF(INDEX('Прайс и заказ'!D:D,$J288)="","",INDEX('Прайс и заказ'!D:D,$J288)))</f>
      </c>
      <c r="E288" s="61" t="str">
        <f>IF($J288=0,"",IF(INDEX('Прайс и заказ'!F:F,$J288)="","",INDEX('Прайс и заказ'!F:F,$J288)))</f>
      </c>
      <c r="F288" s="62" t="str">
        <f>IF($J288=0,"",IF(INDEX('Прайс и заказ'!I:I,$J288)="","",INDEX('Прайс и заказ'!I:I,$J288)))</f>
      </c>
      <c r="G288" s="63" t="str">
        <f>IF($J288=0,"",IF(INDEX('Прайс и заказ'!K:K,$J288)="","",INDEX('Прайс и заказ'!K:K,$J288)))</f>
      </c>
      <c r="H288" s="62" t="str">
        <f>IF($J288=0,"",IF(INDEX('Прайс и заказ'!L:L,$J288)="","",INDEX('Прайс и заказ'!L:L,$J288)))</f>
      </c>
      <c r="I288" s="13" t="str">
        <f>IF($J288=0,"",IF(INDEX('Прайс и заказ'!M:M,$J288)="","",INDEX('Прайс и заказ'!M:M,$J288)))</f>
      </c>
      <c r="J288" t="str">
        <f>IFERROR(MATCH(280,'Прайс и заказ'!$N$7:$N$435,0)+6,0)</f>
      </c>
    </row>
    <row r="289" spans="1:11" customHeight="1" ht="40">
      <c r="A289" s="13" t="str">
        <f>IF($J289=0,"",IFERROR(_xlfn.IMAGE(INDEX('Прайс и заказ'!$O:$O,$J289)),""))</f>
      </c>
      <c r="B289" s="61" t="str">
        <f>IF($J289=0,"",IF(INDEX('Прайс и заказ'!B:B,$J289)="","",INDEX('Прайс и заказ'!B:B,$J289)))</f>
      </c>
      <c r="C289" s="64" t="str">
        <f>IF($J289=0,"",IF(INDEX('Прайс и заказ'!C:C,$J289)="","",INDEX('Прайс и заказ'!C:C,$J289)))</f>
      </c>
      <c r="D289" s="64" t="str">
        <f>IF($J289=0,"",IF(INDEX('Прайс и заказ'!D:D,$J289)="","",INDEX('Прайс и заказ'!D:D,$J289)))</f>
      </c>
      <c r="E289" s="61" t="str">
        <f>IF($J289=0,"",IF(INDEX('Прайс и заказ'!F:F,$J289)="","",INDEX('Прайс и заказ'!F:F,$J289)))</f>
      </c>
      <c r="F289" s="62" t="str">
        <f>IF($J289=0,"",IF(INDEX('Прайс и заказ'!I:I,$J289)="","",INDEX('Прайс и заказ'!I:I,$J289)))</f>
      </c>
      <c r="G289" s="63" t="str">
        <f>IF($J289=0,"",IF(INDEX('Прайс и заказ'!K:K,$J289)="","",INDEX('Прайс и заказ'!K:K,$J289)))</f>
      </c>
      <c r="H289" s="62" t="str">
        <f>IF($J289=0,"",IF(INDEX('Прайс и заказ'!L:L,$J289)="","",INDEX('Прайс и заказ'!L:L,$J289)))</f>
      </c>
      <c r="I289" s="13" t="str">
        <f>IF($J289=0,"",IF(INDEX('Прайс и заказ'!M:M,$J289)="","",INDEX('Прайс и заказ'!M:M,$J289)))</f>
      </c>
      <c r="J289" t="str">
        <f>IFERROR(MATCH(281,'Прайс и заказ'!$N$7:$N$435,0)+6,0)</f>
      </c>
    </row>
    <row r="290" spans="1:11" customHeight="1" ht="40">
      <c r="A290" s="13" t="str">
        <f>IF($J290=0,"",IFERROR(_xlfn.IMAGE(INDEX('Прайс и заказ'!$O:$O,$J290)),""))</f>
      </c>
      <c r="B290" s="61" t="str">
        <f>IF($J290=0,"",IF(INDEX('Прайс и заказ'!B:B,$J290)="","",INDEX('Прайс и заказ'!B:B,$J290)))</f>
      </c>
      <c r="C290" s="64" t="str">
        <f>IF($J290=0,"",IF(INDEX('Прайс и заказ'!C:C,$J290)="","",INDEX('Прайс и заказ'!C:C,$J290)))</f>
      </c>
      <c r="D290" s="64" t="str">
        <f>IF($J290=0,"",IF(INDEX('Прайс и заказ'!D:D,$J290)="","",INDEX('Прайс и заказ'!D:D,$J290)))</f>
      </c>
      <c r="E290" s="61" t="str">
        <f>IF($J290=0,"",IF(INDEX('Прайс и заказ'!F:F,$J290)="","",INDEX('Прайс и заказ'!F:F,$J290)))</f>
      </c>
      <c r="F290" s="62" t="str">
        <f>IF($J290=0,"",IF(INDEX('Прайс и заказ'!I:I,$J290)="","",INDEX('Прайс и заказ'!I:I,$J290)))</f>
      </c>
      <c r="G290" s="63" t="str">
        <f>IF($J290=0,"",IF(INDEX('Прайс и заказ'!K:K,$J290)="","",INDEX('Прайс и заказ'!K:K,$J290)))</f>
      </c>
      <c r="H290" s="62" t="str">
        <f>IF($J290=0,"",IF(INDEX('Прайс и заказ'!L:L,$J290)="","",INDEX('Прайс и заказ'!L:L,$J290)))</f>
      </c>
      <c r="I290" s="13" t="str">
        <f>IF($J290=0,"",IF(INDEX('Прайс и заказ'!M:M,$J290)="","",INDEX('Прайс и заказ'!M:M,$J290)))</f>
      </c>
      <c r="J290" t="str">
        <f>IFERROR(MATCH(282,'Прайс и заказ'!$N$7:$N$435,0)+6,0)</f>
      </c>
    </row>
    <row r="291" spans="1:11" customHeight="1" ht="40">
      <c r="A291" s="13" t="str">
        <f>IF($J291=0,"",IFERROR(_xlfn.IMAGE(INDEX('Прайс и заказ'!$O:$O,$J291)),""))</f>
      </c>
      <c r="B291" s="61" t="str">
        <f>IF($J291=0,"",IF(INDEX('Прайс и заказ'!B:B,$J291)="","",INDEX('Прайс и заказ'!B:B,$J291)))</f>
      </c>
      <c r="C291" s="64" t="str">
        <f>IF($J291=0,"",IF(INDEX('Прайс и заказ'!C:C,$J291)="","",INDEX('Прайс и заказ'!C:C,$J291)))</f>
      </c>
      <c r="D291" s="64" t="str">
        <f>IF($J291=0,"",IF(INDEX('Прайс и заказ'!D:D,$J291)="","",INDEX('Прайс и заказ'!D:D,$J291)))</f>
      </c>
      <c r="E291" s="61" t="str">
        <f>IF($J291=0,"",IF(INDEX('Прайс и заказ'!F:F,$J291)="","",INDEX('Прайс и заказ'!F:F,$J291)))</f>
      </c>
      <c r="F291" s="62" t="str">
        <f>IF($J291=0,"",IF(INDEX('Прайс и заказ'!I:I,$J291)="","",INDEX('Прайс и заказ'!I:I,$J291)))</f>
      </c>
      <c r="G291" s="63" t="str">
        <f>IF($J291=0,"",IF(INDEX('Прайс и заказ'!K:K,$J291)="","",INDEX('Прайс и заказ'!K:K,$J291)))</f>
      </c>
      <c r="H291" s="62" t="str">
        <f>IF($J291=0,"",IF(INDEX('Прайс и заказ'!L:L,$J291)="","",INDEX('Прайс и заказ'!L:L,$J291)))</f>
      </c>
      <c r="I291" s="13" t="str">
        <f>IF($J291=0,"",IF(INDEX('Прайс и заказ'!M:M,$J291)="","",INDEX('Прайс и заказ'!M:M,$J291)))</f>
      </c>
      <c r="J291" t="str">
        <f>IFERROR(MATCH(283,'Прайс и заказ'!$N$7:$N$435,0)+6,0)</f>
      </c>
    </row>
    <row r="292" spans="1:11" customHeight="1" ht="40">
      <c r="A292" s="13" t="str">
        <f>IF($J292=0,"",IFERROR(_xlfn.IMAGE(INDEX('Прайс и заказ'!$O:$O,$J292)),""))</f>
      </c>
      <c r="B292" s="61" t="str">
        <f>IF($J292=0,"",IF(INDEX('Прайс и заказ'!B:B,$J292)="","",INDEX('Прайс и заказ'!B:B,$J292)))</f>
      </c>
      <c r="C292" s="64" t="str">
        <f>IF($J292=0,"",IF(INDEX('Прайс и заказ'!C:C,$J292)="","",INDEX('Прайс и заказ'!C:C,$J292)))</f>
      </c>
      <c r="D292" s="64" t="str">
        <f>IF($J292=0,"",IF(INDEX('Прайс и заказ'!D:D,$J292)="","",INDEX('Прайс и заказ'!D:D,$J292)))</f>
      </c>
      <c r="E292" s="61" t="str">
        <f>IF($J292=0,"",IF(INDEX('Прайс и заказ'!F:F,$J292)="","",INDEX('Прайс и заказ'!F:F,$J292)))</f>
      </c>
      <c r="F292" s="62" t="str">
        <f>IF($J292=0,"",IF(INDEX('Прайс и заказ'!I:I,$J292)="","",INDEX('Прайс и заказ'!I:I,$J292)))</f>
      </c>
      <c r="G292" s="63" t="str">
        <f>IF($J292=0,"",IF(INDEX('Прайс и заказ'!K:K,$J292)="","",INDEX('Прайс и заказ'!K:K,$J292)))</f>
      </c>
      <c r="H292" s="62" t="str">
        <f>IF($J292=0,"",IF(INDEX('Прайс и заказ'!L:L,$J292)="","",INDEX('Прайс и заказ'!L:L,$J292)))</f>
      </c>
      <c r="I292" s="13" t="str">
        <f>IF($J292=0,"",IF(INDEX('Прайс и заказ'!M:M,$J292)="","",INDEX('Прайс и заказ'!M:M,$J292)))</f>
      </c>
      <c r="J292" t="str">
        <f>IFERROR(MATCH(284,'Прайс и заказ'!$N$7:$N$435,0)+6,0)</f>
      </c>
    </row>
    <row r="293" spans="1:11" customHeight="1" ht="40">
      <c r="A293" s="13" t="str">
        <f>IF($J293=0,"",IFERROR(_xlfn.IMAGE(INDEX('Прайс и заказ'!$O:$O,$J293)),""))</f>
      </c>
      <c r="B293" s="61" t="str">
        <f>IF($J293=0,"",IF(INDEX('Прайс и заказ'!B:B,$J293)="","",INDEX('Прайс и заказ'!B:B,$J293)))</f>
      </c>
      <c r="C293" s="64" t="str">
        <f>IF($J293=0,"",IF(INDEX('Прайс и заказ'!C:C,$J293)="","",INDEX('Прайс и заказ'!C:C,$J293)))</f>
      </c>
      <c r="D293" s="64" t="str">
        <f>IF($J293=0,"",IF(INDEX('Прайс и заказ'!D:D,$J293)="","",INDEX('Прайс и заказ'!D:D,$J293)))</f>
      </c>
      <c r="E293" s="61" t="str">
        <f>IF($J293=0,"",IF(INDEX('Прайс и заказ'!F:F,$J293)="","",INDEX('Прайс и заказ'!F:F,$J293)))</f>
      </c>
      <c r="F293" s="62" t="str">
        <f>IF($J293=0,"",IF(INDEX('Прайс и заказ'!I:I,$J293)="","",INDEX('Прайс и заказ'!I:I,$J293)))</f>
      </c>
      <c r="G293" s="63" t="str">
        <f>IF($J293=0,"",IF(INDEX('Прайс и заказ'!K:K,$J293)="","",INDEX('Прайс и заказ'!K:K,$J293)))</f>
      </c>
      <c r="H293" s="62" t="str">
        <f>IF($J293=0,"",IF(INDEX('Прайс и заказ'!L:L,$J293)="","",INDEX('Прайс и заказ'!L:L,$J293)))</f>
      </c>
      <c r="I293" s="13" t="str">
        <f>IF($J293=0,"",IF(INDEX('Прайс и заказ'!M:M,$J293)="","",INDEX('Прайс и заказ'!M:M,$J293)))</f>
      </c>
      <c r="J293" t="str">
        <f>IFERROR(MATCH(285,'Прайс и заказ'!$N$7:$N$435,0)+6,0)</f>
      </c>
    </row>
    <row r="294" spans="1:11" customHeight="1" ht="40">
      <c r="A294" s="13" t="str">
        <f>IF($J294=0,"",IFERROR(_xlfn.IMAGE(INDEX('Прайс и заказ'!$O:$O,$J294)),""))</f>
      </c>
      <c r="B294" s="61" t="str">
        <f>IF($J294=0,"",IF(INDEX('Прайс и заказ'!B:B,$J294)="","",INDEX('Прайс и заказ'!B:B,$J294)))</f>
      </c>
      <c r="C294" s="64" t="str">
        <f>IF($J294=0,"",IF(INDEX('Прайс и заказ'!C:C,$J294)="","",INDEX('Прайс и заказ'!C:C,$J294)))</f>
      </c>
      <c r="D294" s="64" t="str">
        <f>IF($J294=0,"",IF(INDEX('Прайс и заказ'!D:D,$J294)="","",INDEX('Прайс и заказ'!D:D,$J294)))</f>
      </c>
      <c r="E294" s="61" t="str">
        <f>IF($J294=0,"",IF(INDEX('Прайс и заказ'!F:F,$J294)="","",INDEX('Прайс и заказ'!F:F,$J294)))</f>
      </c>
      <c r="F294" s="62" t="str">
        <f>IF($J294=0,"",IF(INDEX('Прайс и заказ'!I:I,$J294)="","",INDEX('Прайс и заказ'!I:I,$J294)))</f>
      </c>
      <c r="G294" s="63" t="str">
        <f>IF($J294=0,"",IF(INDEX('Прайс и заказ'!K:K,$J294)="","",INDEX('Прайс и заказ'!K:K,$J294)))</f>
      </c>
      <c r="H294" s="62" t="str">
        <f>IF($J294=0,"",IF(INDEX('Прайс и заказ'!L:L,$J294)="","",INDEX('Прайс и заказ'!L:L,$J294)))</f>
      </c>
      <c r="I294" s="13" t="str">
        <f>IF($J294=0,"",IF(INDEX('Прайс и заказ'!M:M,$J294)="","",INDEX('Прайс и заказ'!M:M,$J294)))</f>
      </c>
      <c r="J294" t="str">
        <f>IFERROR(MATCH(286,'Прайс и заказ'!$N$7:$N$435,0)+6,0)</f>
      </c>
    </row>
    <row r="295" spans="1:11" customHeight="1" ht="40">
      <c r="A295" s="13" t="str">
        <f>IF($J295=0,"",IFERROR(_xlfn.IMAGE(INDEX('Прайс и заказ'!$O:$O,$J295)),""))</f>
      </c>
      <c r="B295" s="61" t="str">
        <f>IF($J295=0,"",IF(INDEX('Прайс и заказ'!B:B,$J295)="","",INDEX('Прайс и заказ'!B:B,$J295)))</f>
      </c>
      <c r="C295" s="64" t="str">
        <f>IF($J295=0,"",IF(INDEX('Прайс и заказ'!C:C,$J295)="","",INDEX('Прайс и заказ'!C:C,$J295)))</f>
      </c>
      <c r="D295" s="64" t="str">
        <f>IF($J295=0,"",IF(INDEX('Прайс и заказ'!D:D,$J295)="","",INDEX('Прайс и заказ'!D:D,$J295)))</f>
      </c>
      <c r="E295" s="61" t="str">
        <f>IF($J295=0,"",IF(INDEX('Прайс и заказ'!F:F,$J295)="","",INDEX('Прайс и заказ'!F:F,$J295)))</f>
      </c>
      <c r="F295" s="62" t="str">
        <f>IF($J295=0,"",IF(INDEX('Прайс и заказ'!I:I,$J295)="","",INDEX('Прайс и заказ'!I:I,$J295)))</f>
      </c>
      <c r="G295" s="63" t="str">
        <f>IF($J295=0,"",IF(INDEX('Прайс и заказ'!K:K,$J295)="","",INDEX('Прайс и заказ'!K:K,$J295)))</f>
      </c>
      <c r="H295" s="62" t="str">
        <f>IF($J295=0,"",IF(INDEX('Прайс и заказ'!L:L,$J295)="","",INDEX('Прайс и заказ'!L:L,$J295)))</f>
      </c>
      <c r="I295" s="13" t="str">
        <f>IF($J295=0,"",IF(INDEX('Прайс и заказ'!M:M,$J295)="","",INDEX('Прайс и заказ'!M:M,$J295)))</f>
      </c>
      <c r="J295" t="str">
        <f>IFERROR(MATCH(287,'Прайс и заказ'!$N$7:$N$435,0)+6,0)</f>
      </c>
    </row>
    <row r="296" spans="1:11" customHeight="1" ht="40">
      <c r="A296" s="13" t="str">
        <f>IF($J296=0,"",IFERROR(_xlfn.IMAGE(INDEX('Прайс и заказ'!$O:$O,$J296)),""))</f>
      </c>
      <c r="B296" s="61" t="str">
        <f>IF($J296=0,"",IF(INDEX('Прайс и заказ'!B:B,$J296)="","",INDEX('Прайс и заказ'!B:B,$J296)))</f>
      </c>
      <c r="C296" s="64" t="str">
        <f>IF($J296=0,"",IF(INDEX('Прайс и заказ'!C:C,$J296)="","",INDEX('Прайс и заказ'!C:C,$J296)))</f>
      </c>
      <c r="D296" s="64" t="str">
        <f>IF($J296=0,"",IF(INDEX('Прайс и заказ'!D:D,$J296)="","",INDEX('Прайс и заказ'!D:D,$J296)))</f>
      </c>
      <c r="E296" s="61" t="str">
        <f>IF($J296=0,"",IF(INDEX('Прайс и заказ'!F:F,$J296)="","",INDEX('Прайс и заказ'!F:F,$J296)))</f>
      </c>
      <c r="F296" s="62" t="str">
        <f>IF($J296=0,"",IF(INDEX('Прайс и заказ'!I:I,$J296)="","",INDEX('Прайс и заказ'!I:I,$J296)))</f>
      </c>
      <c r="G296" s="63" t="str">
        <f>IF($J296=0,"",IF(INDEX('Прайс и заказ'!K:K,$J296)="","",INDEX('Прайс и заказ'!K:K,$J296)))</f>
      </c>
      <c r="H296" s="62" t="str">
        <f>IF($J296=0,"",IF(INDEX('Прайс и заказ'!L:L,$J296)="","",INDEX('Прайс и заказ'!L:L,$J296)))</f>
      </c>
      <c r="I296" s="13" t="str">
        <f>IF($J296=0,"",IF(INDEX('Прайс и заказ'!M:M,$J296)="","",INDEX('Прайс и заказ'!M:M,$J296)))</f>
      </c>
      <c r="J296" t="str">
        <f>IFERROR(MATCH(288,'Прайс и заказ'!$N$7:$N$435,0)+6,0)</f>
      </c>
    </row>
    <row r="297" spans="1:11" customHeight="1" ht="40">
      <c r="A297" s="13" t="str">
        <f>IF($J297=0,"",IFERROR(_xlfn.IMAGE(INDEX('Прайс и заказ'!$O:$O,$J297)),""))</f>
      </c>
      <c r="B297" s="61" t="str">
        <f>IF($J297=0,"",IF(INDEX('Прайс и заказ'!B:B,$J297)="","",INDEX('Прайс и заказ'!B:B,$J297)))</f>
      </c>
      <c r="C297" s="64" t="str">
        <f>IF($J297=0,"",IF(INDEX('Прайс и заказ'!C:C,$J297)="","",INDEX('Прайс и заказ'!C:C,$J297)))</f>
      </c>
      <c r="D297" s="64" t="str">
        <f>IF($J297=0,"",IF(INDEX('Прайс и заказ'!D:D,$J297)="","",INDEX('Прайс и заказ'!D:D,$J297)))</f>
      </c>
      <c r="E297" s="61" t="str">
        <f>IF($J297=0,"",IF(INDEX('Прайс и заказ'!F:F,$J297)="","",INDEX('Прайс и заказ'!F:F,$J297)))</f>
      </c>
      <c r="F297" s="62" t="str">
        <f>IF($J297=0,"",IF(INDEX('Прайс и заказ'!I:I,$J297)="","",INDEX('Прайс и заказ'!I:I,$J297)))</f>
      </c>
      <c r="G297" s="63" t="str">
        <f>IF($J297=0,"",IF(INDEX('Прайс и заказ'!K:K,$J297)="","",INDEX('Прайс и заказ'!K:K,$J297)))</f>
      </c>
      <c r="H297" s="62" t="str">
        <f>IF($J297=0,"",IF(INDEX('Прайс и заказ'!L:L,$J297)="","",INDEX('Прайс и заказ'!L:L,$J297)))</f>
      </c>
      <c r="I297" s="13" t="str">
        <f>IF($J297=0,"",IF(INDEX('Прайс и заказ'!M:M,$J297)="","",INDEX('Прайс и заказ'!M:M,$J297)))</f>
      </c>
      <c r="J297" t="str">
        <f>IFERROR(MATCH(289,'Прайс и заказ'!$N$7:$N$435,0)+6,0)</f>
      </c>
    </row>
    <row r="298" spans="1:11" customHeight="1" ht="40">
      <c r="A298" s="13" t="str">
        <f>IF($J298=0,"",IFERROR(_xlfn.IMAGE(INDEX('Прайс и заказ'!$O:$O,$J298)),""))</f>
      </c>
      <c r="B298" s="61" t="str">
        <f>IF($J298=0,"",IF(INDEX('Прайс и заказ'!B:B,$J298)="","",INDEX('Прайс и заказ'!B:B,$J298)))</f>
      </c>
      <c r="C298" s="64" t="str">
        <f>IF($J298=0,"",IF(INDEX('Прайс и заказ'!C:C,$J298)="","",INDEX('Прайс и заказ'!C:C,$J298)))</f>
      </c>
      <c r="D298" s="64" t="str">
        <f>IF($J298=0,"",IF(INDEX('Прайс и заказ'!D:D,$J298)="","",INDEX('Прайс и заказ'!D:D,$J298)))</f>
      </c>
      <c r="E298" s="61" t="str">
        <f>IF($J298=0,"",IF(INDEX('Прайс и заказ'!F:F,$J298)="","",INDEX('Прайс и заказ'!F:F,$J298)))</f>
      </c>
      <c r="F298" s="62" t="str">
        <f>IF($J298=0,"",IF(INDEX('Прайс и заказ'!I:I,$J298)="","",INDEX('Прайс и заказ'!I:I,$J298)))</f>
      </c>
      <c r="G298" s="63" t="str">
        <f>IF($J298=0,"",IF(INDEX('Прайс и заказ'!K:K,$J298)="","",INDEX('Прайс и заказ'!K:K,$J298)))</f>
      </c>
      <c r="H298" s="62" t="str">
        <f>IF($J298=0,"",IF(INDEX('Прайс и заказ'!L:L,$J298)="","",INDEX('Прайс и заказ'!L:L,$J298)))</f>
      </c>
      <c r="I298" s="13" t="str">
        <f>IF($J298=0,"",IF(INDEX('Прайс и заказ'!M:M,$J298)="","",INDEX('Прайс и заказ'!M:M,$J298)))</f>
      </c>
      <c r="J298" t="str">
        <f>IFERROR(MATCH(290,'Прайс и заказ'!$N$7:$N$435,0)+6,0)</f>
      </c>
    </row>
    <row r="299" spans="1:11" customHeight="1" ht="40">
      <c r="A299" s="13" t="str">
        <f>IF($J299=0,"",IFERROR(_xlfn.IMAGE(INDEX('Прайс и заказ'!$O:$O,$J299)),""))</f>
      </c>
      <c r="B299" s="61" t="str">
        <f>IF($J299=0,"",IF(INDEX('Прайс и заказ'!B:B,$J299)="","",INDEX('Прайс и заказ'!B:B,$J299)))</f>
      </c>
      <c r="C299" s="64" t="str">
        <f>IF($J299=0,"",IF(INDEX('Прайс и заказ'!C:C,$J299)="","",INDEX('Прайс и заказ'!C:C,$J299)))</f>
      </c>
      <c r="D299" s="64" t="str">
        <f>IF($J299=0,"",IF(INDEX('Прайс и заказ'!D:D,$J299)="","",INDEX('Прайс и заказ'!D:D,$J299)))</f>
      </c>
      <c r="E299" s="61" t="str">
        <f>IF($J299=0,"",IF(INDEX('Прайс и заказ'!F:F,$J299)="","",INDEX('Прайс и заказ'!F:F,$J299)))</f>
      </c>
      <c r="F299" s="62" t="str">
        <f>IF($J299=0,"",IF(INDEX('Прайс и заказ'!I:I,$J299)="","",INDEX('Прайс и заказ'!I:I,$J299)))</f>
      </c>
      <c r="G299" s="63" t="str">
        <f>IF($J299=0,"",IF(INDEX('Прайс и заказ'!K:K,$J299)="","",INDEX('Прайс и заказ'!K:K,$J299)))</f>
      </c>
      <c r="H299" s="62" t="str">
        <f>IF($J299=0,"",IF(INDEX('Прайс и заказ'!L:L,$J299)="","",INDEX('Прайс и заказ'!L:L,$J299)))</f>
      </c>
      <c r="I299" s="13" t="str">
        <f>IF($J299=0,"",IF(INDEX('Прайс и заказ'!M:M,$J299)="","",INDEX('Прайс и заказ'!M:M,$J299)))</f>
      </c>
      <c r="J299" t="str">
        <f>IFERROR(MATCH(291,'Прайс и заказ'!$N$7:$N$435,0)+6,0)</f>
      </c>
    </row>
    <row r="300" spans="1:11" customHeight="1" ht="40">
      <c r="A300" s="13" t="str">
        <f>IF($J300=0,"",IFERROR(_xlfn.IMAGE(INDEX('Прайс и заказ'!$O:$O,$J300)),""))</f>
      </c>
      <c r="B300" s="61" t="str">
        <f>IF($J300=0,"",IF(INDEX('Прайс и заказ'!B:B,$J300)="","",INDEX('Прайс и заказ'!B:B,$J300)))</f>
      </c>
      <c r="C300" s="64" t="str">
        <f>IF($J300=0,"",IF(INDEX('Прайс и заказ'!C:C,$J300)="","",INDEX('Прайс и заказ'!C:C,$J300)))</f>
      </c>
      <c r="D300" s="64" t="str">
        <f>IF($J300=0,"",IF(INDEX('Прайс и заказ'!D:D,$J300)="","",INDEX('Прайс и заказ'!D:D,$J300)))</f>
      </c>
      <c r="E300" s="61" t="str">
        <f>IF($J300=0,"",IF(INDEX('Прайс и заказ'!F:F,$J300)="","",INDEX('Прайс и заказ'!F:F,$J300)))</f>
      </c>
      <c r="F300" s="62" t="str">
        <f>IF($J300=0,"",IF(INDEX('Прайс и заказ'!I:I,$J300)="","",INDEX('Прайс и заказ'!I:I,$J300)))</f>
      </c>
      <c r="G300" s="63" t="str">
        <f>IF($J300=0,"",IF(INDEX('Прайс и заказ'!K:K,$J300)="","",INDEX('Прайс и заказ'!K:K,$J300)))</f>
      </c>
      <c r="H300" s="62" t="str">
        <f>IF($J300=0,"",IF(INDEX('Прайс и заказ'!L:L,$J300)="","",INDEX('Прайс и заказ'!L:L,$J300)))</f>
      </c>
      <c r="I300" s="13" t="str">
        <f>IF($J300=0,"",IF(INDEX('Прайс и заказ'!M:M,$J300)="","",INDEX('Прайс и заказ'!M:M,$J300)))</f>
      </c>
      <c r="J300" t="str">
        <f>IFERROR(MATCH(292,'Прайс и заказ'!$N$7:$N$435,0)+6,0)</f>
      </c>
    </row>
    <row r="301" spans="1:11" customHeight="1" ht="40">
      <c r="A301" s="13" t="str">
        <f>IF($J301=0,"",IFERROR(_xlfn.IMAGE(INDEX('Прайс и заказ'!$O:$O,$J301)),""))</f>
      </c>
      <c r="B301" s="61" t="str">
        <f>IF($J301=0,"",IF(INDEX('Прайс и заказ'!B:B,$J301)="","",INDEX('Прайс и заказ'!B:B,$J301)))</f>
      </c>
      <c r="C301" s="64" t="str">
        <f>IF($J301=0,"",IF(INDEX('Прайс и заказ'!C:C,$J301)="","",INDEX('Прайс и заказ'!C:C,$J301)))</f>
      </c>
      <c r="D301" s="64" t="str">
        <f>IF($J301=0,"",IF(INDEX('Прайс и заказ'!D:D,$J301)="","",INDEX('Прайс и заказ'!D:D,$J301)))</f>
      </c>
      <c r="E301" s="61" t="str">
        <f>IF($J301=0,"",IF(INDEX('Прайс и заказ'!F:F,$J301)="","",INDEX('Прайс и заказ'!F:F,$J301)))</f>
      </c>
      <c r="F301" s="62" t="str">
        <f>IF($J301=0,"",IF(INDEX('Прайс и заказ'!I:I,$J301)="","",INDEX('Прайс и заказ'!I:I,$J301)))</f>
      </c>
      <c r="G301" s="63" t="str">
        <f>IF($J301=0,"",IF(INDEX('Прайс и заказ'!K:K,$J301)="","",INDEX('Прайс и заказ'!K:K,$J301)))</f>
      </c>
      <c r="H301" s="62" t="str">
        <f>IF($J301=0,"",IF(INDEX('Прайс и заказ'!L:L,$J301)="","",INDEX('Прайс и заказ'!L:L,$J301)))</f>
      </c>
      <c r="I301" s="13" t="str">
        <f>IF($J301=0,"",IF(INDEX('Прайс и заказ'!M:M,$J301)="","",INDEX('Прайс и заказ'!M:M,$J301)))</f>
      </c>
      <c r="J301" t="str">
        <f>IFERROR(MATCH(293,'Прайс и заказ'!$N$7:$N$435,0)+6,0)</f>
      </c>
    </row>
    <row r="302" spans="1:11" customHeight="1" ht="40">
      <c r="A302" s="13" t="str">
        <f>IF($J302=0,"",IFERROR(_xlfn.IMAGE(INDEX('Прайс и заказ'!$O:$O,$J302)),""))</f>
      </c>
      <c r="B302" s="61" t="str">
        <f>IF($J302=0,"",IF(INDEX('Прайс и заказ'!B:B,$J302)="","",INDEX('Прайс и заказ'!B:B,$J302)))</f>
      </c>
      <c r="C302" s="64" t="str">
        <f>IF($J302=0,"",IF(INDEX('Прайс и заказ'!C:C,$J302)="","",INDEX('Прайс и заказ'!C:C,$J302)))</f>
      </c>
      <c r="D302" s="64" t="str">
        <f>IF($J302=0,"",IF(INDEX('Прайс и заказ'!D:D,$J302)="","",INDEX('Прайс и заказ'!D:D,$J302)))</f>
      </c>
      <c r="E302" s="61" t="str">
        <f>IF($J302=0,"",IF(INDEX('Прайс и заказ'!F:F,$J302)="","",INDEX('Прайс и заказ'!F:F,$J302)))</f>
      </c>
      <c r="F302" s="62" t="str">
        <f>IF($J302=0,"",IF(INDEX('Прайс и заказ'!I:I,$J302)="","",INDEX('Прайс и заказ'!I:I,$J302)))</f>
      </c>
      <c r="G302" s="63" t="str">
        <f>IF($J302=0,"",IF(INDEX('Прайс и заказ'!K:K,$J302)="","",INDEX('Прайс и заказ'!K:K,$J302)))</f>
      </c>
      <c r="H302" s="62" t="str">
        <f>IF($J302=0,"",IF(INDEX('Прайс и заказ'!L:L,$J302)="","",INDEX('Прайс и заказ'!L:L,$J302)))</f>
      </c>
      <c r="I302" s="13" t="str">
        <f>IF($J302=0,"",IF(INDEX('Прайс и заказ'!M:M,$J302)="","",INDEX('Прайс и заказ'!M:M,$J302)))</f>
      </c>
      <c r="J302" t="str">
        <f>IFERROR(MATCH(294,'Прайс и заказ'!$N$7:$N$435,0)+6,0)</f>
      </c>
    </row>
    <row r="303" spans="1:11" customHeight="1" ht="40">
      <c r="A303" s="13" t="str">
        <f>IF($J303=0,"",IFERROR(_xlfn.IMAGE(INDEX('Прайс и заказ'!$O:$O,$J303)),""))</f>
      </c>
      <c r="B303" s="61" t="str">
        <f>IF($J303=0,"",IF(INDEX('Прайс и заказ'!B:B,$J303)="","",INDEX('Прайс и заказ'!B:B,$J303)))</f>
      </c>
      <c r="C303" s="64" t="str">
        <f>IF($J303=0,"",IF(INDEX('Прайс и заказ'!C:C,$J303)="","",INDEX('Прайс и заказ'!C:C,$J303)))</f>
      </c>
      <c r="D303" s="64" t="str">
        <f>IF($J303=0,"",IF(INDEX('Прайс и заказ'!D:D,$J303)="","",INDEX('Прайс и заказ'!D:D,$J303)))</f>
      </c>
      <c r="E303" s="61" t="str">
        <f>IF($J303=0,"",IF(INDEX('Прайс и заказ'!F:F,$J303)="","",INDEX('Прайс и заказ'!F:F,$J303)))</f>
      </c>
      <c r="F303" s="62" t="str">
        <f>IF($J303=0,"",IF(INDEX('Прайс и заказ'!I:I,$J303)="","",INDEX('Прайс и заказ'!I:I,$J303)))</f>
      </c>
      <c r="G303" s="63" t="str">
        <f>IF($J303=0,"",IF(INDEX('Прайс и заказ'!K:K,$J303)="","",INDEX('Прайс и заказ'!K:K,$J303)))</f>
      </c>
      <c r="H303" s="62" t="str">
        <f>IF($J303=0,"",IF(INDEX('Прайс и заказ'!L:L,$J303)="","",INDEX('Прайс и заказ'!L:L,$J303)))</f>
      </c>
      <c r="I303" s="13" t="str">
        <f>IF($J303=0,"",IF(INDEX('Прайс и заказ'!M:M,$J303)="","",INDEX('Прайс и заказ'!M:M,$J303)))</f>
      </c>
      <c r="J303" t="str">
        <f>IFERROR(MATCH(295,'Прайс и заказ'!$N$7:$N$435,0)+6,0)</f>
      </c>
    </row>
    <row r="304" spans="1:11" customHeight="1" ht="40">
      <c r="A304" s="13" t="str">
        <f>IF($J304=0,"",IFERROR(_xlfn.IMAGE(INDEX('Прайс и заказ'!$O:$O,$J304)),""))</f>
      </c>
      <c r="B304" s="61" t="str">
        <f>IF($J304=0,"",IF(INDEX('Прайс и заказ'!B:B,$J304)="","",INDEX('Прайс и заказ'!B:B,$J304)))</f>
      </c>
      <c r="C304" s="64" t="str">
        <f>IF($J304=0,"",IF(INDEX('Прайс и заказ'!C:C,$J304)="","",INDEX('Прайс и заказ'!C:C,$J304)))</f>
      </c>
      <c r="D304" s="64" t="str">
        <f>IF($J304=0,"",IF(INDEX('Прайс и заказ'!D:D,$J304)="","",INDEX('Прайс и заказ'!D:D,$J304)))</f>
      </c>
      <c r="E304" s="61" t="str">
        <f>IF($J304=0,"",IF(INDEX('Прайс и заказ'!F:F,$J304)="","",INDEX('Прайс и заказ'!F:F,$J304)))</f>
      </c>
      <c r="F304" s="62" t="str">
        <f>IF($J304=0,"",IF(INDEX('Прайс и заказ'!I:I,$J304)="","",INDEX('Прайс и заказ'!I:I,$J304)))</f>
      </c>
      <c r="G304" s="63" t="str">
        <f>IF($J304=0,"",IF(INDEX('Прайс и заказ'!K:K,$J304)="","",INDEX('Прайс и заказ'!K:K,$J304)))</f>
      </c>
      <c r="H304" s="62" t="str">
        <f>IF($J304=0,"",IF(INDEX('Прайс и заказ'!L:L,$J304)="","",INDEX('Прайс и заказ'!L:L,$J304)))</f>
      </c>
      <c r="I304" s="13" t="str">
        <f>IF($J304=0,"",IF(INDEX('Прайс и заказ'!M:M,$J304)="","",INDEX('Прайс и заказ'!M:M,$J304)))</f>
      </c>
      <c r="J304" t="str">
        <f>IFERROR(MATCH(296,'Прайс и заказ'!$N$7:$N$435,0)+6,0)</f>
      </c>
    </row>
    <row r="305" spans="1:11" customHeight="1" ht="40">
      <c r="A305" s="13" t="str">
        <f>IF($J305=0,"",IFERROR(_xlfn.IMAGE(INDEX('Прайс и заказ'!$O:$O,$J305)),""))</f>
      </c>
      <c r="B305" s="61" t="str">
        <f>IF($J305=0,"",IF(INDEX('Прайс и заказ'!B:B,$J305)="","",INDEX('Прайс и заказ'!B:B,$J305)))</f>
      </c>
      <c r="C305" s="64" t="str">
        <f>IF($J305=0,"",IF(INDEX('Прайс и заказ'!C:C,$J305)="","",INDEX('Прайс и заказ'!C:C,$J305)))</f>
      </c>
      <c r="D305" s="64" t="str">
        <f>IF($J305=0,"",IF(INDEX('Прайс и заказ'!D:D,$J305)="","",INDEX('Прайс и заказ'!D:D,$J305)))</f>
      </c>
      <c r="E305" s="61" t="str">
        <f>IF($J305=0,"",IF(INDEX('Прайс и заказ'!F:F,$J305)="","",INDEX('Прайс и заказ'!F:F,$J305)))</f>
      </c>
      <c r="F305" s="62" t="str">
        <f>IF($J305=0,"",IF(INDEX('Прайс и заказ'!I:I,$J305)="","",INDEX('Прайс и заказ'!I:I,$J305)))</f>
      </c>
      <c r="G305" s="63" t="str">
        <f>IF($J305=0,"",IF(INDEX('Прайс и заказ'!K:K,$J305)="","",INDEX('Прайс и заказ'!K:K,$J305)))</f>
      </c>
      <c r="H305" s="62" t="str">
        <f>IF($J305=0,"",IF(INDEX('Прайс и заказ'!L:L,$J305)="","",INDEX('Прайс и заказ'!L:L,$J305)))</f>
      </c>
      <c r="I305" s="13" t="str">
        <f>IF($J305=0,"",IF(INDEX('Прайс и заказ'!M:M,$J305)="","",INDEX('Прайс и заказ'!M:M,$J305)))</f>
      </c>
      <c r="J305" t="str">
        <f>IFERROR(MATCH(297,'Прайс и заказ'!$N$7:$N$435,0)+6,0)</f>
      </c>
    </row>
    <row r="306" spans="1:11" customHeight="1" ht="40">
      <c r="A306" s="13" t="str">
        <f>IF($J306=0,"",IFERROR(_xlfn.IMAGE(INDEX('Прайс и заказ'!$O:$O,$J306)),""))</f>
      </c>
      <c r="B306" s="61" t="str">
        <f>IF($J306=0,"",IF(INDEX('Прайс и заказ'!B:B,$J306)="","",INDEX('Прайс и заказ'!B:B,$J306)))</f>
      </c>
      <c r="C306" s="64" t="str">
        <f>IF($J306=0,"",IF(INDEX('Прайс и заказ'!C:C,$J306)="","",INDEX('Прайс и заказ'!C:C,$J306)))</f>
      </c>
      <c r="D306" s="64" t="str">
        <f>IF($J306=0,"",IF(INDEX('Прайс и заказ'!D:D,$J306)="","",INDEX('Прайс и заказ'!D:D,$J306)))</f>
      </c>
      <c r="E306" s="61" t="str">
        <f>IF($J306=0,"",IF(INDEX('Прайс и заказ'!F:F,$J306)="","",INDEX('Прайс и заказ'!F:F,$J306)))</f>
      </c>
      <c r="F306" s="62" t="str">
        <f>IF($J306=0,"",IF(INDEX('Прайс и заказ'!I:I,$J306)="","",INDEX('Прайс и заказ'!I:I,$J306)))</f>
      </c>
      <c r="G306" s="63" t="str">
        <f>IF($J306=0,"",IF(INDEX('Прайс и заказ'!K:K,$J306)="","",INDEX('Прайс и заказ'!K:K,$J306)))</f>
      </c>
      <c r="H306" s="62" t="str">
        <f>IF($J306=0,"",IF(INDEX('Прайс и заказ'!L:L,$J306)="","",INDEX('Прайс и заказ'!L:L,$J306)))</f>
      </c>
      <c r="I306" s="13" t="str">
        <f>IF($J306=0,"",IF(INDEX('Прайс и заказ'!M:M,$J306)="","",INDEX('Прайс и заказ'!M:M,$J306)))</f>
      </c>
      <c r="J306" t="str">
        <f>IFERROR(MATCH(298,'Прайс и заказ'!$N$7:$N$435,0)+6,0)</f>
      </c>
    </row>
    <row r="307" spans="1:11" customHeight="1" ht="40">
      <c r="A307" s="13" t="str">
        <f>IF($J307=0,"",IFERROR(_xlfn.IMAGE(INDEX('Прайс и заказ'!$O:$O,$J307)),""))</f>
      </c>
      <c r="B307" s="61" t="str">
        <f>IF($J307=0,"",IF(INDEX('Прайс и заказ'!B:B,$J307)="","",INDEX('Прайс и заказ'!B:B,$J307)))</f>
      </c>
      <c r="C307" s="64" t="str">
        <f>IF($J307=0,"",IF(INDEX('Прайс и заказ'!C:C,$J307)="","",INDEX('Прайс и заказ'!C:C,$J307)))</f>
      </c>
      <c r="D307" s="64" t="str">
        <f>IF($J307=0,"",IF(INDEX('Прайс и заказ'!D:D,$J307)="","",INDEX('Прайс и заказ'!D:D,$J307)))</f>
      </c>
      <c r="E307" s="61" t="str">
        <f>IF($J307=0,"",IF(INDEX('Прайс и заказ'!F:F,$J307)="","",INDEX('Прайс и заказ'!F:F,$J307)))</f>
      </c>
      <c r="F307" s="62" t="str">
        <f>IF($J307=0,"",IF(INDEX('Прайс и заказ'!I:I,$J307)="","",INDEX('Прайс и заказ'!I:I,$J307)))</f>
      </c>
      <c r="G307" s="63" t="str">
        <f>IF($J307=0,"",IF(INDEX('Прайс и заказ'!K:K,$J307)="","",INDEX('Прайс и заказ'!K:K,$J307)))</f>
      </c>
      <c r="H307" s="62" t="str">
        <f>IF($J307=0,"",IF(INDEX('Прайс и заказ'!L:L,$J307)="","",INDEX('Прайс и заказ'!L:L,$J307)))</f>
      </c>
      <c r="I307" s="13" t="str">
        <f>IF($J307=0,"",IF(INDEX('Прайс и заказ'!M:M,$J307)="","",INDEX('Прайс и заказ'!M:M,$J307)))</f>
      </c>
      <c r="J307" t="str">
        <f>IFERROR(MATCH(299,'Прайс и заказ'!$N$7:$N$435,0)+6,0)</f>
      </c>
    </row>
    <row r="308" spans="1:11" customHeight="1" ht="40">
      <c r="A308" s="13" t="str">
        <f>IF($J308=0,"",IFERROR(_xlfn.IMAGE(INDEX('Прайс и заказ'!$O:$O,$J308)),""))</f>
      </c>
      <c r="B308" s="61" t="str">
        <f>IF($J308=0,"",IF(INDEX('Прайс и заказ'!B:B,$J308)="","",INDEX('Прайс и заказ'!B:B,$J308)))</f>
      </c>
      <c r="C308" s="64" t="str">
        <f>IF($J308=0,"",IF(INDEX('Прайс и заказ'!C:C,$J308)="","",INDEX('Прайс и заказ'!C:C,$J308)))</f>
      </c>
      <c r="D308" s="64" t="str">
        <f>IF($J308=0,"",IF(INDEX('Прайс и заказ'!D:D,$J308)="","",INDEX('Прайс и заказ'!D:D,$J308)))</f>
      </c>
      <c r="E308" s="61" t="str">
        <f>IF($J308=0,"",IF(INDEX('Прайс и заказ'!F:F,$J308)="","",INDEX('Прайс и заказ'!F:F,$J308)))</f>
      </c>
      <c r="F308" s="62" t="str">
        <f>IF($J308=0,"",IF(INDEX('Прайс и заказ'!I:I,$J308)="","",INDEX('Прайс и заказ'!I:I,$J308)))</f>
      </c>
      <c r="G308" s="63" t="str">
        <f>IF($J308=0,"",IF(INDEX('Прайс и заказ'!K:K,$J308)="","",INDEX('Прайс и заказ'!K:K,$J308)))</f>
      </c>
      <c r="H308" s="62" t="str">
        <f>IF($J308=0,"",IF(INDEX('Прайс и заказ'!L:L,$J308)="","",INDEX('Прайс и заказ'!L:L,$J308)))</f>
      </c>
      <c r="I308" s="13" t="str">
        <f>IF($J308=0,"",IF(INDEX('Прайс и заказ'!M:M,$J308)="","",INDEX('Прайс и заказ'!M:M,$J308)))</f>
      </c>
      <c r="J308" t="str">
        <f>IFERROR(MATCH(300,'Прайс и заказ'!$N$7:$N$435,0)+6,0)</f>
      </c>
    </row>
    <row r="309" spans="1:11" customHeight="1" ht="40">
      <c r="A309" s="13" t="str">
        <f>IF($J309=0,"",IFERROR(_xlfn.IMAGE(INDEX('Прайс и заказ'!$O:$O,$J309)),""))</f>
      </c>
      <c r="B309" s="61" t="str">
        <f>IF($J309=0,"",IF(INDEX('Прайс и заказ'!B:B,$J309)="","",INDEX('Прайс и заказ'!B:B,$J309)))</f>
      </c>
      <c r="C309" s="64" t="str">
        <f>IF($J309=0,"",IF(INDEX('Прайс и заказ'!C:C,$J309)="","",INDEX('Прайс и заказ'!C:C,$J309)))</f>
      </c>
      <c r="D309" s="64" t="str">
        <f>IF($J309=0,"",IF(INDEX('Прайс и заказ'!D:D,$J309)="","",INDEX('Прайс и заказ'!D:D,$J309)))</f>
      </c>
      <c r="E309" s="61" t="str">
        <f>IF($J309=0,"",IF(INDEX('Прайс и заказ'!F:F,$J309)="","",INDEX('Прайс и заказ'!F:F,$J309)))</f>
      </c>
      <c r="F309" s="62" t="str">
        <f>IF($J309=0,"",IF(INDEX('Прайс и заказ'!I:I,$J309)="","",INDEX('Прайс и заказ'!I:I,$J309)))</f>
      </c>
      <c r="G309" s="63" t="str">
        <f>IF($J309=0,"",IF(INDEX('Прайс и заказ'!K:K,$J309)="","",INDEX('Прайс и заказ'!K:K,$J309)))</f>
      </c>
      <c r="H309" s="62" t="str">
        <f>IF($J309=0,"",IF(INDEX('Прайс и заказ'!L:L,$J309)="","",INDEX('Прайс и заказ'!L:L,$J309)))</f>
      </c>
      <c r="I309" s="13" t="str">
        <f>IF($J309=0,"",IF(INDEX('Прайс и заказ'!M:M,$J309)="","",INDEX('Прайс и заказ'!M:M,$J309)))</f>
      </c>
      <c r="J309" t="str">
        <f>IFERROR(MATCH(301,'Прайс и заказ'!$N$7:$N$435,0)+6,0)</f>
      </c>
    </row>
    <row r="310" spans="1:11" customHeight="1" ht="40">
      <c r="A310" s="13" t="str">
        <f>IF($J310=0,"",IFERROR(_xlfn.IMAGE(INDEX('Прайс и заказ'!$O:$O,$J310)),""))</f>
      </c>
      <c r="B310" s="61" t="str">
        <f>IF($J310=0,"",IF(INDEX('Прайс и заказ'!B:B,$J310)="","",INDEX('Прайс и заказ'!B:B,$J310)))</f>
      </c>
      <c r="C310" s="64" t="str">
        <f>IF($J310=0,"",IF(INDEX('Прайс и заказ'!C:C,$J310)="","",INDEX('Прайс и заказ'!C:C,$J310)))</f>
      </c>
      <c r="D310" s="64" t="str">
        <f>IF($J310=0,"",IF(INDEX('Прайс и заказ'!D:D,$J310)="","",INDEX('Прайс и заказ'!D:D,$J310)))</f>
      </c>
      <c r="E310" s="61" t="str">
        <f>IF($J310=0,"",IF(INDEX('Прайс и заказ'!F:F,$J310)="","",INDEX('Прайс и заказ'!F:F,$J310)))</f>
      </c>
      <c r="F310" s="62" t="str">
        <f>IF($J310=0,"",IF(INDEX('Прайс и заказ'!I:I,$J310)="","",INDEX('Прайс и заказ'!I:I,$J310)))</f>
      </c>
      <c r="G310" s="63" t="str">
        <f>IF($J310=0,"",IF(INDEX('Прайс и заказ'!K:K,$J310)="","",INDEX('Прайс и заказ'!K:K,$J310)))</f>
      </c>
      <c r="H310" s="62" t="str">
        <f>IF($J310=0,"",IF(INDEX('Прайс и заказ'!L:L,$J310)="","",INDEX('Прайс и заказ'!L:L,$J310)))</f>
      </c>
      <c r="I310" s="13" t="str">
        <f>IF($J310=0,"",IF(INDEX('Прайс и заказ'!M:M,$J310)="","",INDEX('Прайс и заказ'!M:M,$J310)))</f>
      </c>
      <c r="J310" t="str">
        <f>IFERROR(MATCH(302,'Прайс и заказ'!$N$7:$N$435,0)+6,0)</f>
      </c>
    </row>
    <row r="311" spans="1:11" customHeight="1" ht="40">
      <c r="A311" s="13" t="str">
        <f>IF($J311=0,"",IFERROR(_xlfn.IMAGE(INDEX('Прайс и заказ'!$O:$O,$J311)),""))</f>
      </c>
      <c r="B311" s="61" t="str">
        <f>IF($J311=0,"",IF(INDEX('Прайс и заказ'!B:B,$J311)="","",INDEX('Прайс и заказ'!B:B,$J311)))</f>
      </c>
      <c r="C311" s="64" t="str">
        <f>IF($J311=0,"",IF(INDEX('Прайс и заказ'!C:C,$J311)="","",INDEX('Прайс и заказ'!C:C,$J311)))</f>
      </c>
      <c r="D311" s="64" t="str">
        <f>IF($J311=0,"",IF(INDEX('Прайс и заказ'!D:D,$J311)="","",INDEX('Прайс и заказ'!D:D,$J311)))</f>
      </c>
      <c r="E311" s="61" t="str">
        <f>IF($J311=0,"",IF(INDEX('Прайс и заказ'!F:F,$J311)="","",INDEX('Прайс и заказ'!F:F,$J311)))</f>
      </c>
      <c r="F311" s="62" t="str">
        <f>IF($J311=0,"",IF(INDEX('Прайс и заказ'!I:I,$J311)="","",INDEX('Прайс и заказ'!I:I,$J311)))</f>
      </c>
      <c r="G311" s="63" t="str">
        <f>IF($J311=0,"",IF(INDEX('Прайс и заказ'!K:K,$J311)="","",INDEX('Прайс и заказ'!K:K,$J311)))</f>
      </c>
      <c r="H311" s="62" t="str">
        <f>IF($J311=0,"",IF(INDEX('Прайс и заказ'!L:L,$J311)="","",INDEX('Прайс и заказ'!L:L,$J311)))</f>
      </c>
      <c r="I311" s="13" t="str">
        <f>IF($J311=0,"",IF(INDEX('Прайс и заказ'!M:M,$J311)="","",INDEX('Прайс и заказ'!M:M,$J311)))</f>
      </c>
      <c r="J311" t="str">
        <f>IFERROR(MATCH(303,'Прайс и заказ'!$N$7:$N$435,0)+6,0)</f>
      </c>
    </row>
    <row r="312" spans="1:11" customHeight="1" ht="40">
      <c r="A312" s="13" t="str">
        <f>IF($J312=0,"",IFERROR(_xlfn.IMAGE(INDEX('Прайс и заказ'!$O:$O,$J312)),""))</f>
      </c>
      <c r="B312" s="61" t="str">
        <f>IF($J312=0,"",IF(INDEX('Прайс и заказ'!B:B,$J312)="","",INDEX('Прайс и заказ'!B:B,$J312)))</f>
      </c>
      <c r="C312" s="64" t="str">
        <f>IF($J312=0,"",IF(INDEX('Прайс и заказ'!C:C,$J312)="","",INDEX('Прайс и заказ'!C:C,$J312)))</f>
      </c>
      <c r="D312" s="64" t="str">
        <f>IF($J312=0,"",IF(INDEX('Прайс и заказ'!D:D,$J312)="","",INDEX('Прайс и заказ'!D:D,$J312)))</f>
      </c>
      <c r="E312" s="61" t="str">
        <f>IF($J312=0,"",IF(INDEX('Прайс и заказ'!F:F,$J312)="","",INDEX('Прайс и заказ'!F:F,$J312)))</f>
      </c>
      <c r="F312" s="62" t="str">
        <f>IF($J312=0,"",IF(INDEX('Прайс и заказ'!I:I,$J312)="","",INDEX('Прайс и заказ'!I:I,$J312)))</f>
      </c>
      <c r="G312" s="63" t="str">
        <f>IF($J312=0,"",IF(INDEX('Прайс и заказ'!K:K,$J312)="","",INDEX('Прайс и заказ'!K:K,$J312)))</f>
      </c>
      <c r="H312" s="62" t="str">
        <f>IF($J312=0,"",IF(INDEX('Прайс и заказ'!L:L,$J312)="","",INDEX('Прайс и заказ'!L:L,$J312)))</f>
      </c>
      <c r="I312" s="13" t="str">
        <f>IF($J312=0,"",IF(INDEX('Прайс и заказ'!M:M,$J312)="","",INDEX('Прайс и заказ'!M:M,$J312)))</f>
      </c>
      <c r="J312" t="str">
        <f>IFERROR(MATCH(304,'Прайс и заказ'!$N$7:$N$435,0)+6,0)</f>
      </c>
    </row>
    <row r="313" spans="1:11" customHeight="1" ht="40">
      <c r="A313" s="13" t="str">
        <f>IF($J313=0,"",IFERROR(_xlfn.IMAGE(INDEX('Прайс и заказ'!$O:$O,$J313)),""))</f>
      </c>
      <c r="B313" s="61" t="str">
        <f>IF($J313=0,"",IF(INDEX('Прайс и заказ'!B:B,$J313)="","",INDEX('Прайс и заказ'!B:B,$J313)))</f>
      </c>
      <c r="C313" s="64" t="str">
        <f>IF($J313=0,"",IF(INDEX('Прайс и заказ'!C:C,$J313)="","",INDEX('Прайс и заказ'!C:C,$J313)))</f>
      </c>
      <c r="D313" s="64" t="str">
        <f>IF($J313=0,"",IF(INDEX('Прайс и заказ'!D:D,$J313)="","",INDEX('Прайс и заказ'!D:D,$J313)))</f>
      </c>
      <c r="E313" s="61" t="str">
        <f>IF($J313=0,"",IF(INDEX('Прайс и заказ'!F:F,$J313)="","",INDEX('Прайс и заказ'!F:F,$J313)))</f>
      </c>
      <c r="F313" s="62" t="str">
        <f>IF($J313=0,"",IF(INDEX('Прайс и заказ'!I:I,$J313)="","",INDEX('Прайс и заказ'!I:I,$J313)))</f>
      </c>
      <c r="G313" s="63" t="str">
        <f>IF($J313=0,"",IF(INDEX('Прайс и заказ'!K:K,$J313)="","",INDEX('Прайс и заказ'!K:K,$J313)))</f>
      </c>
      <c r="H313" s="62" t="str">
        <f>IF($J313=0,"",IF(INDEX('Прайс и заказ'!L:L,$J313)="","",INDEX('Прайс и заказ'!L:L,$J313)))</f>
      </c>
      <c r="I313" s="13" t="str">
        <f>IF($J313=0,"",IF(INDEX('Прайс и заказ'!M:M,$J313)="","",INDEX('Прайс и заказ'!M:M,$J313)))</f>
      </c>
      <c r="J313" t="str">
        <f>IFERROR(MATCH(305,'Прайс и заказ'!$N$7:$N$435,0)+6,0)</f>
      </c>
    </row>
    <row r="314" spans="1:11" customHeight="1" ht="40">
      <c r="A314" s="13" t="str">
        <f>IF($J314=0,"",IFERROR(_xlfn.IMAGE(INDEX('Прайс и заказ'!$O:$O,$J314)),""))</f>
      </c>
      <c r="B314" s="61" t="str">
        <f>IF($J314=0,"",IF(INDEX('Прайс и заказ'!B:B,$J314)="","",INDEX('Прайс и заказ'!B:B,$J314)))</f>
      </c>
      <c r="C314" s="64" t="str">
        <f>IF($J314=0,"",IF(INDEX('Прайс и заказ'!C:C,$J314)="","",INDEX('Прайс и заказ'!C:C,$J314)))</f>
      </c>
      <c r="D314" s="64" t="str">
        <f>IF($J314=0,"",IF(INDEX('Прайс и заказ'!D:D,$J314)="","",INDEX('Прайс и заказ'!D:D,$J314)))</f>
      </c>
      <c r="E314" s="61" t="str">
        <f>IF($J314=0,"",IF(INDEX('Прайс и заказ'!F:F,$J314)="","",INDEX('Прайс и заказ'!F:F,$J314)))</f>
      </c>
      <c r="F314" s="62" t="str">
        <f>IF($J314=0,"",IF(INDEX('Прайс и заказ'!I:I,$J314)="","",INDEX('Прайс и заказ'!I:I,$J314)))</f>
      </c>
      <c r="G314" s="63" t="str">
        <f>IF($J314=0,"",IF(INDEX('Прайс и заказ'!K:K,$J314)="","",INDEX('Прайс и заказ'!K:K,$J314)))</f>
      </c>
      <c r="H314" s="62" t="str">
        <f>IF($J314=0,"",IF(INDEX('Прайс и заказ'!L:L,$J314)="","",INDEX('Прайс и заказ'!L:L,$J314)))</f>
      </c>
      <c r="I314" s="13" t="str">
        <f>IF($J314=0,"",IF(INDEX('Прайс и заказ'!M:M,$J314)="","",INDEX('Прайс и заказ'!M:M,$J314)))</f>
      </c>
      <c r="J314" t="str">
        <f>IFERROR(MATCH(306,'Прайс и заказ'!$N$7:$N$435,0)+6,0)</f>
      </c>
    </row>
    <row r="315" spans="1:11" customHeight="1" ht="40">
      <c r="A315" s="13" t="str">
        <f>IF($J315=0,"",IFERROR(_xlfn.IMAGE(INDEX('Прайс и заказ'!$O:$O,$J315)),""))</f>
      </c>
      <c r="B315" s="61" t="str">
        <f>IF($J315=0,"",IF(INDEX('Прайс и заказ'!B:B,$J315)="","",INDEX('Прайс и заказ'!B:B,$J315)))</f>
      </c>
      <c r="C315" s="64" t="str">
        <f>IF($J315=0,"",IF(INDEX('Прайс и заказ'!C:C,$J315)="","",INDEX('Прайс и заказ'!C:C,$J315)))</f>
      </c>
      <c r="D315" s="64" t="str">
        <f>IF($J315=0,"",IF(INDEX('Прайс и заказ'!D:D,$J315)="","",INDEX('Прайс и заказ'!D:D,$J315)))</f>
      </c>
      <c r="E315" s="61" t="str">
        <f>IF($J315=0,"",IF(INDEX('Прайс и заказ'!F:F,$J315)="","",INDEX('Прайс и заказ'!F:F,$J315)))</f>
      </c>
      <c r="F315" s="62" t="str">
        <f>IF($J315=0,"",IF(INDEX('Прайс и заказ'!I:I,$J315)="","",INDEX('Прайс и заказ'!I:I,$J315)))</f>
      </c>
      <c r="G315" s="63" t="str">
        <f>IF($J315=0,"",IF(INDEX('Прайс и заказ'!K:K,$J315)="","",INDEX('Прайс и заказ'!K:K,$J315)))</f>
      </c>
      <c r="H315" s="62" t="str">
        <f>IF($J315=0,"",IF(INDEX('Прайс и заказ'!L:L,$J315)="","",INDEX('Прайс и заказ'!L:L,$J315)))</f>
      </c>
      <c r="I315" s="13" t="str">
        <f>IF($J315=0,"",IF(INDEX('Прайс и заказ'!M:M,$J315)="","",INDEX('Прайс и заказ'!M:M,$J315)))</f>
      </c>
      <c r="J315" t="str">
        <f>IFERROR(MATCH(307,'Прайс и заказ'!$N$7:$N$435,0)+6,0)</f>
      </c>
    </row>
    <row r="316" spans="1:11" customHeight="1" ht="40">
      <c r="A316" s="13" t="str">
        <f>IF($J316=0,"",IFERROR(_xlfn.IMAGE(INDEX('Прайс и заказ'!$O:$O,$J316)),""))</f>
      </c>
      <c r="B316" s="61" t="str">
        <f>IF($J316=0,"",IF(INDEX('Прайс и заказ'!B:B,$J316)="","",INDEX('Прайс и заказ'!B:B,$J316)))</f>
      </c>
      <c r="C316" s="64" t="str">
        <f>IF($J316=0,"",IF(INDEX('Прайс и заказ'!C:C,$J316)="","",INDEX('Прайс и заказ'!C:C,$J316)))</f>
      </c>
      <c r="D316" s="64" t="str">
        <f>IF($J316=0,"",IF(INDEX('Прайс и заказ'!D:D,$J316)="","",INDEX('Прайс и заказ'!D:D,$J316)))</f>
      </c>
      <c r="E316" s="61" t="str">
        <f>IF($J316=0,"",IF(INDEX('Прайс и заказ'!F:F,$J316)="","",INDEX('Прайс и заказ'!F:F,$J316)))</f>
      </c>
      <c r="F316" s="62" t="str">
        <f>IF($J316=0,"",IF(INDEX('Прайс и заказ'!I:I,$J316)="","",INDEX('Прайс и заказ'!I:I,$J316)))</f>
      </c>
      <c r="G316" s="63" t="str">
        <f>IF($J316=0,"",IF(INDEX('Прайс и заказ'!K:K,$J316)="","",INDEX('Прайс и заказ'!K:K,$J316)))</f>
      </c>
      <c r="H316" s="62" t="str">
        <f>IF($J316=0,"",IF(INDEX('Прайс и заказ'!L:L,$J316)="","",INDEX('Прайс и заказ'!L:L,$J316)))</f>
      </c>
      <c r="I316" s="13" t="str">
        <f>IF($J316=0,"",IF(INDEX('Прайс и заказ'!M:M,$J316)="","",INDEX('Прайс и заказ'!M:M,$J316)))</f>
      </c>
      <c r="J316" t="str">
        <f>IFERROR(MATCH(308,'Прайс и заказ'!$N$7:$N$435,0)+6,0)</f>
      </c>
    </row>
    <row r="317" spans="1:11" customHeight="1" ht="40">
      <c r="A317" s="13" t="str">
        <f>IF($J317=0,"",IFERROR(_xlfn.IMAGE(INDEX('Прайс и заказ'!$O:$O,$J317)),""))</f>
      </c>
      <c r="B317" s="61" t="str">
        <f>IF($J317=0,"",IF(INDEX('Прайс и заказ'!B:B,$J317)="","",INDEX('Прайс и заказ'!B:B,$J317)))</f>
      </c>
      <c r="C317" s="64" t="str">
        <f>IF($J317=0,"",IF(INDEX('Прайс и заказ'!C:C,$J317)="","",INDEX('Прайс и заказ'!C:C,$J317)))</f>
      </c>
      <c r="D317" s="64" t="str">
        <f>IF($J317=0,"",IF(INDEX('Прайс и заказ'!D:D,$J317)="","",INDEX('Прайс и заказ'!D:D,$J317)))</f>
      </c>
      <c r="E317" s="61" t="str">
        <f>IF($J317=0,"",IF(INDEX('Прайс и заказ'!F:F,$J317)="","",INDEX('Прайс и заказ'!F:F,$J317)))</f>
      </c>
      <c r="F317" s="62" t="str">
        <f>IF($J317=0,"",IF(INDEX('Прайс и заказ'!I:I,$J317)="","",INDEX('Прайс и заказ'!I:I,$J317)))</f>
      </c>
      <c r="G317" s="63" t="str">
        <f>IF($J317=0,"",IF(INDEX('Прайс и заказ'!K:K,$J317)="","",INDEX('Прайс и заказ'!K:K,$J317)))</f>
      </c>
      <c r="H317" s="62" t="str">
        <f>IF($J317=0,"",IF(INDEX('Прайс и заказ'!L:L,$J317)="","",INDEX('Прайс и заказ'!L:L,$J317)))</f>
      </c>
      <c r="I317" s="13" t="str">
        <f>IF($J317=0,"",IF(INDEX('Прайс и заказ'!M:M,$J317)="","",INDEX('Прайс и заказ'!M:M,$J317)))</f>
      </c>
      <c r="J317" t="str">
        <f>IFERROR(MATCH(309,'Прайс и заказ'!$N$7:$N$435,0)+6,0)</f>
      </c>
    </row>
    <row r="318" spans="1:11" customHeight="1" ht="40">
      <c r="A318" s="13" t="str">
        <f>IF($J318=0,"",IFERROR(_xlfn.IMAGE(INDEX('Прайс и заказ'!$O:$O,$J318)),""))</f>
      </c>
      <c r="B318" s="61" t="str">
        <f>IF($J318=0,"",IF(INDEX('Прайс и заказ'!B:B,$J318)="","",INDEX('Прайс и заказ'!B:B,$J318)))</f>
      </c>
      <c r="C318" s="64" t="str">
        <f>IF($J318=0,"",IF(INDEX('Прайс и заказ'!C:C,$J318)="","",INDEX('Прайс и заказ'!C:C,$J318)))</f>
      </c>
      <c r="D318" s="64" t="str">
        <f>IF($J318=0,"",IF(INDEX('Прайс и заказ'!D:D,$J318)="","",INDEX('Прайс и заказ'!D:D,$J318)))</f>
      </c>
      <c r="E318" s="61" t="str">
        <f>IF($J318=0,"",IF(INDEX('Прайс и заказ'!F:F,$J318)="","",INDEX('Прайс и заказ'!F:F,$J318)))</f>
      </c>
      <c r="F318" s="62" t="str">
        <f>IF($J318=0,"",IF(INDEX('Прайс и заказ'!I:I,$J318)="","",INDEX('Прайс и заказ'!I:I,$J318)))</f>
      </c>
      <c r="G318" s="63" t="str">
        <f>IF($J318=0,"",IF(INDEX('Прайс и заказ'!K:K,$J318)="","",INDEX('Прайс и заказ'!K:K,$J318)))</f>
      </c>
      <c r="H318" s="62" t="str">
        <f>IF($J318=0,"",IF(INDEX('Прайс и заказ'!L:L,$J318)="","",INDEX('Прайс и заказ'!L:L,$J318)))</f>
      </c>
      <c r="I318" s="13" t="str">
        <f>IF($J318=0,"",IF(INDEX('Прайс и заказ'!M:M,$J318)="","",INDEX('Прайс и заказ'!M:M,$J318)))</f>
      </c>
      <c r="J318" t="str">
        <f>IFERROR(MATCH(310,'Прайс и заказ'!$N$7:$N$435,0)+6,0)</f>
      </c>
    </row>
    <row r="319" spans="1:11" customHeight="1" ht="40">
      <c r="A319" s="13" t="str">
        <f>IF($J319=0,"",IFERROR(_xlfn.IMAGE(INDEX('Прайс и заказ'!$O:$O,$J319)),""))</f>
      </c>
      <c r="B319" s="61" t="str">
        <f>IF($J319=0,"",IF(INDEX('Прайс и заказ'!B:B,$J319)="","",INDEX('Прайс и заказ'!B:B,$J319)))</f>
      </c>
      <c r="C319" s="64" t="str">
        <f>IF($J319=0,"",IF(INDEX('Прайс и заказ'!C:C,$J319)="","",INDEX('Прайс и заказ'!C:C,$J319)))</f>
      </c>
      <c r="D319" s="64" t="str">
        <f>IF($J319=0,"",IF(INDEX('Прайс и заказ'!D:D,$J319)="","",INDEX('Прайс и заказ'!D:D,$J319)))</f>
      </c>
      <c r="E319" s="61" t="str">
        <f>IF($J319=0,"",IF(INDEX('Прайс и заказ'!F:F,$J319)="","",INDEX('Прайс и заказ'!F:F,$J319)))</f>
      </c>
      <c r="F319" s="62" t="str">
        <f>IF($J319=0,"",IF(INDEX('Прайс и заказ'!I:I,$J319)="","",INDEX('Прайс и заказ'!I:I,$J319)))</f>
      </c>
      <c r="G319" s="63" t="str">
        <f>IF($J319=0,"",IF(INDEX('Прайс и заказ'!K:K,$J319)="","",INDEX('Прайс и заказ'!K:K,$J319)))</f>
      </c>
      <c r="H319" s="62" t="str">
        <f>IF($J319=0,"",IF(INDEX('Прайс и заказ'!L:L,$J319)="","",INDEX('Прайс и заказ'!L:L,$J319)))</f>
      </c>
      <c r="I319" s="13" t="str">
        <f>IF($J319=0,"",IF(INDEX('Прайс и заказ'!M:M,$J319)="","",INDEX('Прайс и заказ'!M:M,$J319)))</f>
      </c>
      <c r="J319" t="str">
        <f>IFERROR(MATCH(311,'Прайс и заказ'!$N$7:$N$435,0)+6,0)</f>
      </c>
    </row>
    <row r="320" spans="1:11" customHeight="1" ht="40">
      <c r="A320" s="13" t="str">
        <f>IF($J320=0,"",IFERROR(_xlfn.IMAGE(INDEX('Прайс и заказ'!$O:$O,$J320)),""))</f>
      </c>
      <c r="B320" s="61" t="str">
        <f>IF($J320=0,"",IF(INDEX('Прайс и заказ'!B:B,$J320)="","",INDEX('Прайс и заказ'!B:B,$J320)))</f>
      </c>
      <c r="C320" s="64" t="str">
        <f>IF($J320=0,"",IF(INDEX('Прайс и заказ'!C:C,$J320)="","",INDEX('Прайс и заказ'!C:C,$J320)))</f>
      </c>
      <c r="D320" s="64" t="str">
        <f>IF($J320=0,"",IF(INDEX('Прайс и заказ'!D:D,$J320)="","",INDEX('Прайс и заказ'!D:D,$J320)))</f>
      </c>
      <c r="E320" s="61" t="str">
        <f>IF($J320=0,"",IF(INDEX('Прайс и заказ'!F:F,$J320)="","",INDEX('Прайс и заказ'!F:F,$J320)))</f>
      </c>
      <c r="F320" s="62" t="str">
        <f>IF($J320=0,"",IF(INDEX('Прайс и заказ'!I:I,$J320)="","",INDEX('Прайс и заказ'!I:I,$J320)))</f>
      </c>
      <c r="G320" s="63" t="str">
        <f>IF($J320=0,"",IF(INDEX('Прайс и заказ'!K:K,$J320)="","",INDEX('Прайс и заказ'!K:K,$J320)))</f>
      </c>
      <c r="H320" s="62" t="str">
        <f>IF($J320=0,"",IF(INDEX('Прайс и заказ'!L:L,$J320)="","",INDEX('Прайс и заказ'!L:L,$J320)))</f>
      </c>
      <c r="I320" s="13" t="str">
        <f>IF($J320=0,"",IF(INDEX('Прайс и заказ'!M:M,$J320)="","",INDEX('Прайс и заказ'!M:M,$J320)))</f>
      </c>
      <c r="J320" t="str">
        <f>IFERROR(MATCH(312,'Прайс и заказ'!$N$7:$N$435,0)+6,0)</f>
      </c>
    </row>
    <row r="321" spans="1:11" customHeight="1" ht="40">
      <c r="A321" s="13" t="str">
        <f>IF($J321=0,"",IFERROR(_xlfn.IMAGE(INDEX('Прайс и заказ'!$O:$O,$J321)),""))</f>
      </c>
      <c r="B321" s="61" t="str">
        <f>IF($J321=0,"",IF(INDEX('Прайс и заказ'!B:B,$J321)="","",INDEX('Прайс и заказ'!B:B,$J321)))</f>
      </c>
      <c r="C321" s="64" t="str">
        <f>IF($J321=0,"",IF(INDEX('Прайс и заказ'!C:C,$J321)="","",INDEX('Прайс и заказ'!C:C,$J321)))</f>
      </c>
      <c r="D321" s="64" t="str">
        <f>IF($J321=0,"",IF(INDEX('Прайс и заказ'!D:D,$J321)="","",INDEX('Прайс и заказ'!D:D,$J321)))</f>
      </c>
      <c r="E321" s="61" t="str">
        <f>IF($J321=0,"",IF(INDEX('Прайс и заказ'!F:F,$J321)="","",INDEX('Прайс и заказ'!F:F,$J321)))</f>
      </c>
      <c r="F321" s="62" t="str">
        <f>IF($J321=0,"",IF(INDEX('Прайс и заказ'!I:I,$J321)="","",INDEX('Прайс и заказ'!I:I,$J321)))</f>
      </c>
      <c r="G321" s="63" t="str">
        <f>IF($J321=0,"",IF(INDEX('Прайс и заказ'!K:K,$J321)="","",INDEX('Прайс и заказ'!K:K,$J321)))</f>
      </c>
      <c r="H321" s="62" t="str">
        <f>IF($J321=0,"",IF(INDEX('Прайс и заказ'!L:L,$J321)="","",INDEX('Прайс и заказ'!L:L,$J321)))</f>
      </c>
      <c r="I321" s="13" t="str">
        <f>IF($J321=0,"",IF(INDEX('Прайс и заказ'!M:M,$J321)="","",INDEX('Прайс и заказ'!M:M,$J321)))</f>
      </c>
      <c r="J321" t="str">
        <f>IFERROR(MATCH(313,'Прайс и заказ'!$N$7:$N$435,0)+6,0)</f>
      </c>
    </row>
    <row r="322" spans="1:11" customHeight="1" ht="40">
      <c r="A322" s="13" t="str">
        <f>IF($J322=0,"",IFERROR(_xlfn.IMAGE(INDEX('Прайс и заказ'!$O:$O,$J322)),""))</f>
      </c>
      <c r="B322" s="61" t="str">
        <f>IF($J322=0,"",IF(INDEX('Прайс и заказ'!B:B,$J322)="","",INDEX('Прайс и заказ'!B:B,$J322)))</f>
      </c>
      <c r="C322" s="64" t="str">
        <f>IF($J322=0,"",IF(INDEX('Прайс и заказ'!C:C,$J322)="","",INDEX('Прайс и заказ'!C:C,$J322)))</f>
      </c>
      <c r="D322" s="64" t="str">
        <f>IF($J322=0,"",IF(INDEX('Прайс и заказ'!D:D,$J322)="","",INDEX('Прайс и заказ'!D:D,$J322)))</f>
      </c>
      <c r="E322" s="61" t="str">
        <f>IF($J322=0,"",IF(INDEX('Прайс и заказ'!F:F,$J322)="","",INDEX('Прайс и заказ'!F:F,$J322)))</f>
      </c>
      <c r="F322" s="62" t="str">
        <f>IF($J322=0,"",IF(INDEX('Прайс и заказ'!I:I,$J322)="","",INDEX('Прайс и заказ'!I:I,$J322)))</f>
      </c>
      <c r="G322" s="63" t="str">
        <f>IF($J322=0,"",IF(INDEX('Прайс и заказ'!K:K,$J322)="","",INDEX('Прайс и заказ'!K:K,$J322)))</f>
      </c>
      <c r="H322" s="62" t="str">
        <f>IF($J322=0,"",IF(INDEX('Прайс и заказ'!L:L,$J322)="","",INDEX('Прайс и заказ'!L:L,$J322)))</f>
      </c>
      <c r="I322" s="13" t="str">
        <f>IF($J322=0,"",IF(INDEX('Прайс и заказ'!M:M,$J322)="","",INDEX('Прайс и заказ'!M:M,$J322)))</f>
      </c>
      <c r="J322" t="str">
        <f>IFERROR(MATCH(314,'Прайс и заказ'!$N$7:$N$435,0)+6,0)</f>
      </c>
    </row>
    <row r="323" spans="1:11" customHeight="1" ht="40">
      <c r="A323" s="13" t="str">
        <f>IF($J323=0,"",IFERROR(_xlfn.IMAGE(INDEX('Прайс и заказ'!$O:$O,$J323)),""))</f>
      </c>
      <c r="B323" s="61" t="str">
        <f>IF($J323=0,"",IF(INDEX('Прайс и заказ'!B:B,$J323)="","",INDEX('Прайс и заказ'!B:B,$J323)))</f>
      </c>
      <c r="C323" s="64" t="str">
        <f>IF($J323=0,"",IF(INDEX('Прайс и заказ'!C:C,$J323)="","",INDEX('Прайс и заказ'!C:C,$J323)))</f>
      </c>
      <c r="D323" s="64" t="str">
        <f>IF($J323=0,"",IF(INDEX('Прайс и заказ'!D:D,$J323)="","",INDEX('Прайс и заказ'!D:D,$J323)))</f>
      </c>
      <c r="E323" s="61" t="str">
        <f>IF($J323=0,"",IF(INDEX('Прайс и заказ'!F:F,$J323)="","",INDEX('Прайс и заказ'!F:F,$J323)))</f>
      </c>
      <c r="F323" s="62" t="str">
        <f>IF($J323=0,"",IF(INDEX('Прайс и заказ'!I:I,$J323)="","",INDEX('Прайс и заказ'!I:I,$J323)))</f>
      </c>
      <c r="G323" s="63" t="str">
        <f>IF($J323=0,"",IF(INDEX('Прайс и заказ'!K:K,$J323)="","",INDEX('Прайс и заказ'!K:K,$J323)))</f>
      </c>
      <c r="H323" s="62" t="str">
        <f>IF($J323=0,"",IF(INDEX('Прайс и заказ'!L:L,$J323)="","",INDEX('Прайс и заказ'!L:L,$J323)))</f>
      </c>
      <c r="I323" s="13" t="str">
        <f>IF($J323=0,"",IF(INDEX('Прайс и заказ'!M:M,$J323)="","",INDEX('Прайс и заказ'!M:M,$J323)))</f>
      </c>
      <c r="J323" t="str">
        <f>IFERROR(MATCH(315,'Прайс и заказ'!$N$7:$N$435,0)+6,0)</f>
      </c>
    </row>
    <row r="324" spans="1:11" customHeight="1" ht="40">
      <c r="A324" s="13" t="str">
        <f>IF($J324=0,"",IFERROR(_xlfn.IMAGE(INDEX('Прайс и заказ'!$O:$O,$J324)),""))</f>
      </c>
      <c r="B324" s="61" t="str">
        <f>IF($J324=0,"",IF(INDEX('Прайс и заказ'!B:B,$J324)="","",INDEX('Прайс и заказ'!B:B,$J324)))</f>
      </c>
      <c r="C324" s="64" t="str">
        <f>IF($J324=0,"",IF(INDEX('Прайс и заказ'!C:C,$J324)="","",INDEX('Прайс и заказ'!C:C,$J324)))</f>
      </c>
      <c r="D324" s="64" t="str">
        <f>IF($J324=0,"",IF(INDEX('Прайс и заказ'!D:D,$J324)="","",INDEX('Прайс и заказ'!D:D,$J324)))</f>
      </c>
      <c r="E324" s="61" t="str">
        <f>IF($J324=0,"",IF(INDEX('Прайс и заказ'!F:F,$J324)="","",INDEX('Прайс и заказ'!F:F,$J324)))</f>
      </c>
      <c r="F324" s="62" t="str">
        <f>IF($J324=0,"",IF(INDEX('Прайс и заказ'!I:I,$J324)="","",INDEX('Прайс и заказ'!I:I,$J324)))</f>
      </c>
      <c r="G324" s="63" t="str">
        <f>IF($J324=0,"",IF(INDEX('Прайс и заказ'!K:K,$J324)="","",INDEX('Прайс и заказ'!K:K,$J324)))</f>
      </c>
      <c r="H324" s="62" t="str">
        <f>IF($J324=0,"",IF(INDEX('Прайс и заказ'!L:L,$J324)="","",INDEX('Прайс и заказ'!L:L,$J324)))</f>
      </c>
      <c r="I324" s="13" t="str">
        <f>IF($J324=0,"",IF(INDEX('Прайс и заказ'!M:M,$J324)="","",INDEX('Прайс и заказ'!M:M,$J324)))</f>
      </c>
      <c r="J324" t="str">
        <f>IFERROR(MATCH(316,'Прайс и заказ'!$N$7:$N$435,0)+6,0)</f>
      </c>
    </row>
    <row r="325" spans="1:11" customHeight="1" ht="40">
      <c r="A325" s="13" t="str">
        <f>IF($J325=0,"",IFERROR(_xlfn.IMAGE(INDEX('Прайс и заказ'!$O:$O,$J325)),""))</f>
      </c>
      <c r="B325" s="61" t="str">
        <f>IF($J325=0,"",IF(INDEX('Прайс и заказ'!B:B,$J325)="","",INDEX('Прайс и заказ'!B:B,$J325)))</f>
      </c>
      <c r="C325" s="64" t="str">
        <f>IF($J325=0,"",IF(INDEX('Прайс и заказ'!C:C,$J325)="","",INDEX('Прайс и заказ'!C:C,$J325)))</f>
      </c>
      <c r="D325" s="64" t="str">
        <f>IF($J325=0,"",IF(INDEX('Прайс и заказ'!D:D,$J325)="","",INDEX('Прайс и заказ'!D:D,$J325)))</f>
      </c>
      <c r="E325" s="61" t="str">
        <f>IF($J325=0,"",IF(INDEX('Прайс и заказ'!F:F,$J325)="","",INDEX('Прайс и заказ'!F:F,$J325)))</f>
      </c>
      <c r="F325" s="62" t="str">
        <f>IF($J325=0,"",IF(INDEX('Прайс и заказ'!I:I,$J325)="","",INDEX('Прайс и заказ'!I:I,$J325)))</f>
      </c>
      <c r="G325" s="63" t="str">
        <f>IF($J325=0,"",IF(INDEX('Прайс и заказ'!K:K,$J325)="","",INDEX('Прайс и заказ'!K:K,$J325)))</f>
      </c>
      <c r="H325" s="62" t="str">
        <f>IF($J325=0,"",IF(INDEX('Прайс и заказ'!L:L,$J325)="","",INDEX('Прайс и заказ'!L:L,$J325)))</f>
      </c>
      <c r="I325" s="13" t="str">
        <f>IF($J325=0,"",IF(INDEX('Прайс и заказ'!M:M,$J325)="","",INDEX('Прайс и заказ'!M:M,$J325)))</f>
      </c>
      <c r="J325" t="str">
        <f>IFERROR(MATCH(317,'Прайс и заказ'!$N$7:$N$435,0)+6,0)</f>
      </c>
    </row>
    <row r="326" spans="1:11" customHeight="1" ht="40">
      <c r="A326" s="13" t="str">
        <f>IF($J326=0,"",IFERROR(_xlfn.IMAGE(INDEX('Прайс и заказ'!$O:$O,$J326)),""))</f>
      </c>
      <c r="B326" s="61" t="str">
        <f>IF($J326=0,"",IF(INDEX('Прайс и заказ'!B:B,$J326)="","",INDEX('Прайс и заказ'!B:B,$J326)))</f>
      </c>
      <c r="C326" s="64" t="str">
        <f>IF($J326=0,"",IF(INDEX('Прайс и заказ'!C:C,$J326)="","",INDEX('Прайс и заказ'!C:C,$J326)))</f>
      </c>
      <c r="D326" s="64" t="str">
        <f>IF($J326=0,"",IF(INDEX('Прайс и заказ'!D:D,$J326)="","",INDEX('Прайс и заказ'!D:D,$J326)))</f>
      </c>
      <c r="E326" s="61" t="str">
        <f>IF($J326=0,"",IF(INDEX('Прайс и заказ'!F:F,$J326)="","",INDEX('Прайс и заказ'!F:F,$J326)))</f>
      </c>
      <c r="F326" s="62" t="str">
        <f>IF($J326=0,"",IF(INDEX('Прайс и заказ'!I:I,$J326)="","",INDEX('Прайс и заказ'!I:I,$J326)))</f>
      </c>
      <c r="G326" s="63" t="str">
        <f>IF($J326=0,"",IF(INDEX('Прайс и заказ'!K:K,$J326)="","",INDEX('Прайс и заказ'!K:K,$J326)))</f>
      </c>
      <c r="H326" s="62" t="str">
        <f>IF($J326=0,"",IF(INDEX('Прайс и заказ'!L:L,$J326)="","",INDEX('Прайс и заказ'!L:L,$J326)))</f>
      </c>
      <c r="I326" s="13" t="str">
        <f>IF($J326=0,"",IF(INDEX('Прайс и заказ'!M:M,$J326)="","",INDEX('Прайс и заказ'!M:M,$J326)))</f>
      </c>
      <c r="J326" t="str">
        <f>IFERROR(MATCH(318,'Прайс и заказ'!$N$7:$N$435,0)+6,0)</f>
      </c>
    </row>
    <row r="327" spans="1:11" customHeight="1" ht="40">
      <c r="A327" s="13" t="str">
        <f>IF($J327=0,"",IFERROR(_xlfn.IMAGE(INDEX('Прайс и заказ'!$O:$O,$J327)),""))</f>
      </c>
      <c r="B327" s="61" t="str">
        <f>IF($J327=0,"",IF(INDEX('Прайс и заказ'!B:B,$J327)="","",INDEX('Прайс и заказ'!B:B,$J327)))</f>
      </c>
      <c r="C327" s="64" t="str">
        <f>IF($J327=0,"",IF(INDEX('Прайс и заказ'!C:C,$J327)="","",INDEX('Прайс и заказ'!C:C,$J327)))</f>
      </c>
      <c r="D327" s="64" t="str">
        <f>IF($J327=0,"",IF(INDEX('Прайс и заказ'!D:D,$J327)="","",INDEX('Прайс и заказ'!D:D,$J327)))</f>
      </c>
      <c r="E327" s="61" t="str">
        <f>IF($J327=0,"",IF(INDEX('Прайс и заказ'!F:F,$J327)="","",INDEX('Прайс и заказ'!F:F,$J327)))</f>
      </c>
      <c r="F327" s="62" t="str">
        <f>IF($J327=0,"",IF(INDEX('Прайс и заказ'!I:I,$J327)="","",INDEX('Прайс и заказ'!I:I,$J327)))</f>
      </c>
      <c r="G327" s="63" t="str">
        <f>IF($J327=0,"",IF(INDEX('Прайс и заказ'!K:K,$J327)="","",INDEX('Прайс и заказ'!K:K,$J327)))</f>
      </c>
      <c r="H327" s="62" t="str">
        <f>IF($J327=0,"",IF(INDEX('Прайс и заказ'!L:L,$J327)="","",INDEX('Прайс и заказ'!L:L,$J327)))</f>
      </c>
      <c r="I327" s="13" t="str">
        <f>IF($J327=0,"",IF(INDEX('Прайс и заказ'!M:M,$J327)="","",INDEX('Прайс и заказ'!M:M,$J327)))</f>
      </c>
      <c r="J327" t="str">
        <f>IFERROR(MATCH(319,'Прайс и заказ'!$N$7:$N$435,0)+6,0)</f>
      </c>
    </row>
    <row r="328" spans="1:11" customHeight="1" ht="40">
      <c r="A328" s="13" t="str">
        <f>IF($J328=0,"",IFERROR(_xlfn.IMAGE(INDEX('Прайс и заказ'!$O:$O,$J328)),""))</f>
      </c>
      <c r="B328" s="61" t="str">
        <f>IF($J328=0,"",IF(INDEX('Прайс и заказ'!B:B,$J328)="","",INDEX('Прайс и заказ'!B:B,$J328)))</f>
      </c>
      <c r="C328" s="64" t="str">
        <f>IF($J328=0,"",IF(INDEX('Прайс и заказ'!C:C,$J328)="","",INDEX('Прайс и заказ'!C:C,$J328)))</f>
      </c>
      <c r="D328" s="64" t="str">
        <f>IF($J328=0,"",IF(INDEX('Прайс и заказ'!D:D,$J328)="","",INDEX('Прайс и заказ'!D:D,$J328)))</f>
      </c>
      <c r="E328" s="61" t="str">
        <f>IF($J328=0,"",IF(INDEX('Прайс и заказ'!F:F,$J328)="","",INDEX('Прайс и заказ'!F:F,$J328)))</f>
      </c>
      <c r="F328" s="62" t="str">
        <f>IF($J328=0,"",IF(INDEX('Прайс и заказ'!I:I,$J328)="","",INDEX('Прайс и заказ'!I:I,$J328)))</f>
      </c>
      <c r="G328" s="63" t="str">
        <f>IF($J328=0,"",IF(INDEX('Прайс и заказ'!K:K,$J328)="","",INDEX('Прайс и заказ'!K:K,$J328)))</f>
      </c>
      <c r="H328" s="62" t="str">
        <f>IF($J328=0,"",IF(INDEX('Прайс и заказ'!L:L,$J328)="","",INDEX('Прайс и заказ'!L:L,$J328)))</f>
      </c>
      <c r="I328" s="13" t="str">
        <f>IF($J328=0,"",IF(INDEX('Прайс и заказ'!M:M,$J328)="","",INDEX('Прайс и заказ'!M:M,$J328)))</f>
      </c>
      <c r="J328" t="str">
        <f>IFERROR(MATCH(320,'Прайс и заказ'!$N$7:$N$435,0)+6,0)</f>
      </c>
    </row>
    <row r="329" spans="1:11" customHeight="1" ht="40">
      <c r="A329" s="13" t="str">
        <f>IF($J329=0,"",IFERROR(_xlfn.IMAGE(INDEX('Прайс и заказ'!$O:$O,$J329)),""))</f>
      </c>
      <c r="B329" s="61" t="str">
        <f>IF($J329=0,"",IF(INDEX('Прайс и заказ'!B:B,$J329)="","",INDEX('Прайс и заказ'!B:B,$J329)))</f>
      </c>
      <c r="C329" s="64" t="str">
        <f>IF($J329=0,"",IF(INDEX('Прайс и заказ'!C:C,$J329)="","",INDEX('Прайс и заказ'!C:C,$J329)))</f>
      </c>
      <c r="D329" s="64" t="str">
        <f>IF($J329=0,"",IF(INDEX('Прайс и заказ'!D:D,$J329)="","",INDEX('Прайс и заказ'!D:D,$J329)))</f>
      </c>
      <c r="E329" s="61" t="str">
        <f>IF($J329=0,"",IF(INDEX('Прайс и заказ'!F:F,$J329)="","",INDEX('Прайс и заказ'!F:F,$J329)))</f>
      </c>
      <c r="F329" s="62" t="str">
        <f>IF($J329=0,"",IF(INDEX('Прайс и заказ'!I:I,$J329)="","",INDEX('Прайс и заказ'!I:I,$J329)))</f>
      </c>
      <c r="G329" s="63" t="str">
        <f>IF($J329=0,"",IF(INDEX('Прайс и заказ'!K:K,$J329)="","",INDEX('Прайс и заказ'!K:K,$J329)))</f>
      </c>
      <c r="H329" s="62" t="str">
        <f>IF($J329=0,"",IF(INDEX('Прайс и заказ'!L:L,$J329)="","",INDEX('Прайс и заказ'!L:L,$J329)))</f>
      </c>
      <c r="I329" s="13" t="str">
        <f>IF($J329=0,"",IF(INDEX('Прайс и заказ'!M:M,$J329)="","",INDEX('Прайс и заказ'!M:M,$J329)))</f>
      </c>
      <c r="J329" t="str">
        <f>IFERROR(MATCH(321,'Прайс и заказ'!$N$7:$N$435,0)+6,0)</f>
      </c>
    </row>
    <row r="330" spans="1:11" customHeight="1" ht="40">
      <c r="A330" s="13" t="str">
        <f>IF($J330=0,"",IFERROR(_xlfn.IMAGE(INDEX('Прайс и заказ'!$O:$O,$J330)),""))</f>
      </c>
      <c r="B330" s="61" t="str">
        <f>IF($J330=0,"",IF(INDEX('Прайс и заказ'!B:B,$J330)="","",INDEX('Прайс и заказ'!B:B,$J330)))</f>
      </c>
      <c r="C330" s="64" t="str">
        <f>IF($J330=0,"",IF(INDEX('Прайс и заказ'!C:C,$J330)="","",INDEX('Прайс и заказ'!C:C,$J330)))</f>
      </c>
      <c r="D330" s="64" t="str">
        <f>IF($J330=0,"",IF(INDEX('Прайс и заказ'!D:D,$J330)="","",INDEX('Прайс и заказ'!D:D,$J330)))</f>
      </c>
      <c r="E330" s="61" t="str">
        <f>IF($J330=0,"",IF(INDEX('Прайс и заказ'!F:F,$J330)="","",INDEX('Прайс и заказ'!F:F,$J330)))</f>
      </c>
      <c r="F330" s="62" t="str">
        <f>IF($J330=0,"",IF(INDEX('Прайс и заказ'!I:I,$J330)="","",INDEX('Прайс и заказ'!I:I,$J330)))</f>
      </c>
      <c r="G330" s="63" t="str">
        <f>IF($J330=0,"",IF(INDEX('Прайс и заказ'!K:K,$J330)="","",INDEX('Прайс и заказ'!K:K,$J330)))</f>
      </c>
      <c r="H330" s="62" t="str">
        <f>IF($J330=0,"",IF(INDEX('Прайс и заказ'!L:L,$J330)="","",INDEX('Прайс и заказ'!L:L,$J330)))</f>
      </c>
      <c r="I330" s="13" t="str">
        <f>IF($J330=0,"",IF(INDEX('Прайс и заказ'!M:M,$J330)="","",INDEX('Прайс и заказ'!M:M,$J330)))</f>
      </c>
      <c r="J330" t="str">
        <f>IFERROR(MATCH(322,'Прайс и заказ'!$N$7:$N$435,0)+6,0)</f>
      </c>
    </row>
    <row r="331" spans="1:11" customHeight="1" ht="40">
      <c r="A331" s="13" t="str">
        <f>IF($J331=0,"",IFERROR(_xlfn.IMAGE(INDEX('Прайс и заказ'!$O:$O,$J331)),""))</f>
      </c>
      <c r="B331" s="61" t="str">
        <f>IF($J331=0,"",IF(INDEX('Прайс и заказ'!B:B,$J331)="","",INDEX('Прайс и заказ'!B:B,$J331)))</f>
      </c>
      <c r="C331" s="64" t="str">
        <f>IF($J331=0,"",IF(INDEX('Прайс и заказ'!C:C,$J331)="","",INDEX('Прайс и заказ'!C:C,$J331)))</f>
      </c>
      <c r="D331" s="64" t="str">
        <f>IF($J331=0,"",IF(INDEX('Прайс и заказ'!D:D,$J331)="","",INDEX('Прайс и заказ'!D:D,$J331)))</f>
      </c>
      <c r="E331" s="61" t="str">
        <f>IF($J331=0,"",IF(INDEX('Прайс и заказ'!F:F,$J331)="","",INDEX('Прайс и заказ'!F:F,$J331)))</f>
      </c>
      <c r="F331" s="62" t="str">
        <f>IF($J331=0,"",IF(INDEX('Прайс и заказ'!I:I,$J331)="","",INDEX('Прайс и заказ'!I:I,$J331)))</f>
      </c>
      <c r="G331" s="63" t="str">
        <f>IF($J331=0,"",IF(INDEX('Прайс и заказ'!K:K,$J331)="","",INDEX('Прайс и заказ'!K:K,$J331)))</f>
      </c>
      <c r="H331" s="62" t="str">
        <f>IF($J331=0,"",IF(INDEX('Прайс и заказ'!L:L,$J331)="","",INDEX('Прайс и заказ'!L:L,$J331)))</f>
      </c>
      <c r="I331" s="13" t="str">
        <f>IF($J331=0,"",IF(INDEX('Прайс и заказ'!M:M,$J331)="","",INDEX('Прайс и заказ'!M:M,$J331)))</f>
      </c>
      <c r="J331" t="str">
        <f>IFERROR(MATCH(323,'Прайс и заказ'!$N$7:$N$435,0)+6,0)</f>
      </c>
    </row>
    <row r="332" spans="1:11" customHeight="1" ht="40">
      <c r="A332" s="13" t="str">
        <f>IF($J332=0,"",IFERROR(_xlfn.IMAGE(INDEX('Прайс и заказ'!$O:$O,$J332)),""))</f>
      </c>
      <c r="B332" s="61" t="str">
        <f>IF($J332=0,"",IF(INDEX('Прайс и заказ'!B:B,$J332)="","",INDEX('Прайс и заказ'!B:B,$J332)))</f>
      </c>
      <c r="C332" s="64" t="str">
        <f>IF($J332=0,"",IF(INDEX('Прайс и заказ'!C:C,$J332)="","",INDEX('Прайс и заказ'!C:C,$J332)))</f>
      </c>
      <c r="D332" s="64" t="str">
        <f>IF($J332=0,"",IF(INDEX('Прайс и заказ'!D:D,$J332)="","",INDEX('Прайс и заказ'!D:D,$J332)))</f>
      </c>
      <c r="E332" s="61" t="str">
        <f>IF($J332=0,"",IF(INDEX('Прайс и заказ'!F:F,$J332)="","",INDEX('Прайс и заказ'!F:F,$J332)))</f>
      </c>
      <c r="F332" s="62" t="str">
        <f>IF($J332=0,"",IF(INDEX('Прайс и заказ'!I:I,$J332)="","",INDEX('Прайс и заказ'!I:I,$J332)))</f>
      </c>
      <c r="G332" s="63" t="str">
        <f>IF($J332=0,"",IF(INDEX('Прайс и заказ'!K:K,$J332)="","",INDEX('Прайс и заказ'!K:K,$J332)))</f>
      </c>
      <c r="H332" s="62" t="str">
        <f>IF($J332=0,"",IF(INDEX('Прайс и заказ'!L:L,$J332)="","",INDEX('Прайс и заказ'!L:L,$J332)))</f>
      </c>
      <c r="I332" s="13" t="str">
        <f>IF($J332=0,"",IF(INDEX('Прайс и заказ'!M:M,$J332)="","",INDEX('Прайс и заказ'!M:M,$J332)))</f>
      </c>
      <c r="J332" t="str">
        <f>IFERROR(MATCH(324,'Прайс и заказ'!$N$7:$N$435,0)+6,0)</f>
      </c>
    </row>
    <row r="333" spans="1:11" customHeight="1" ht="40">
      <c r="A333" s="13" t="str">
        <f>IF($J333=0,"",IFERROR(_xlfn.IMAGE(INDEX('Прайс и заказ'!$O:$O,$J333)),""))</f>
      </c>
      <c r="B333" s="61" t="str">
        <f>IF($J333=0,"",IF(INDEX('Прайс и заказ'!B:B,$J333)="","",INDEX('Прайс и заказ'!B:B,$J333)))</f>
      </c>
      <c r="C333" s="64" t="str">
        <f>IF($J333=0,"",IF(INDEX('Прайс и заказ'!C:C,$J333)="","",INDEX('Прайс и заказ'!C:C,$J333)))</f>
      </c>
      <c r="D333" s="64" t="str">
        <f>IF($J333=0,"",IF(INDEX('Прайс и заказ'!D:D,$J333)="","",INDEX('Прайс и заказ'!D:D,$J333)))</f>
      </c>
      <c r="E333" s="61" t="str">
        <f>IF($J333=0,"",IF(INDEX('Прайс и заказ'!F:F,$J333)="","",INDEX('Прайс и заказ'!F:F,$J333)))</f>
      </c>
      <c r="F333" s="62" t="str">
        <f>IF($J333=0,"",IF(INDEX('Прайс и заказ'!I:I,$J333)="","",INDEX('Прайс и заказ'!I:I,$J333)))</f>
      </c>
      <c r="G333" s="63" t="str">
        <f>IF($J333=0,"",IF(INDEX('Прайс и заказ'!K:K,$J333)="","",INDEX('Прайс и заказ'!K:K,$J333)))</f>
      </c>
      <c r="H333" s="62" t="str">
        <f>IF($J333=0,"",IF(INDEX('Прайс и заказ'!L:L,$J333)="","",INDEX('Прайс и заказ'!L:L,$J333)))</f>
      </c>
      <c r="I333" s="13" t="str">
        <f>IF($J333=0,"",IF(INDEX('Прайс и заказ'!M:M,$J333)="","",INDEX('Прайс и заказ'!M:M,$J333)))</f>
      </c>
      <c r="J333" t="str">
        <f>IFERROR(MATCH(325,'Прайс и заказ'!$N$7:$N$435,0)+6,0)</f>
      </c>
    </row>
    <row r="334" spans="1:11" customHeight="1" ht="40">
      <c r="A334" s="13" t="str">
        <f>IF($J334=0,"",IFERROR(_xlfn.IMAGE(INDEX('Прайс и заказ'!$O:$O,$J334)),""))</f>
      </c>
      <c r="B334" s="61" t="str">
        <f>IF($J334=0,"",IF(INDEX('Прайс и заказ'!B:B,$J334)="","",INDEX('Прайс и заказ'!B:B,$J334)))</f>
      </c>
      <c r="C334" s="64" t="str">
        <f>IF($J334=0,"",IF(INDEX('Прайс и заказ'!C:C,$J334)="","",INDEX('Прайс и заказ'!C:C,$J334)))</f>
      </c>
      <c r="D334" s="64" t="str">
        <f>IF($J334=0,"",IF(INDEX('Прайс и заказ'!D:D,$J334)="","",INDEX('Прайс и заказ'!D:D,$J334)))</f>
      </c>
      <c r="E334" s="61" t="str">
        <f>IF($J334=0,"",IF(INDEX('Прайс и заказ'!F:F,$J334)="","",INDEX('Прайс и заказ'!F:F,$J334)))</f>
      </c>
      <c r="F334" s="62" t="str">
        <f>IF($J334=0,"",IF(INDEX('Прайс и заказ'!I:I,$J334)="","",INDEX('Прайс и заказ'!I:I,$J334)))</f>
      </c>
      <c r="G334" s="63" t="str">
        <f>IF($J334=0,"",IF(INDEX('Прайс и заказ'!K:K,$J334)="","",INDEX('Прайс и заказ'!K:K,$J334)))</f>
      </c>
      <c r="H334" s="62" t="str">
        <f>IF($J334=0,"",IF(INDEX('Прайс и заказ'!L:L,$J334)="","",INDEX('Прайс и заказ'!L:L,$J334)))</f>
      </c>
      <c r="I334" s="13" t="str">
        <f>IF($J334=0,"",IF(INDEX('Прайс и заказ'!M:M,$J334)="","",INDEX('Прайс и заказ'!M:M,$J334)))</f>
      </c>
      <c r="J334" t="str">
        <f>IFERROR(MATCH(326,'Прайс и заказ'!$N$7:$N$435,0)+6,0)</f>
      </c>
    </row>
    <row r="335" spans="1:11" customHeight="1" ht="40">
      <c r="A335" s="13" t="str">
        <f>IF($J335=0,"",IFERROR(_xlfn.IMAGE(INDEX('Прайс и заказ'!$O:$O,$J335)),""))</f>
      </c>
      <c r="B335" s="61" t="str">
        <f>IF($J335=0,"",IF(INDEX('Прайс и заказ'!B:B,$J335)="","",INDEX('Прайс и заказ'!B:B,$J335)))</f>
      </c>
      <c r="C335" s="64" t="str">
        <f>IF($J335=0,"",IF(INDEX('Прайс и заказ'!C:C,$J335)="","",INDEX('Прайс и заказ'!C:C,$J335)))</f>
      </c>
      <c r="D335" s="64" t="str">
        <f>IF($J335=0,"",IF(INDEX('Прайс и заказ'!D:D,$J335)="","",INDEX('Прайс и заказ'!D:D,$J335)))</f>
      </c>
      <c r="E335" s="61" t="str">
        <f>IF($J335=0,"",IF(INDEX('Прайс и заказ'!F:F,$J335)="","",INDEX('Прайс и заказ'!F:F,$J335)))</f>
      </c>
      <c r="F335" s="62" t="str">
        <f>IF($J335=0,"",IF(INDEX('Прайс и заказ'!I:I,$J335)="","",INDEX('Прайс и заказ'!I:I,$J335)))</f>
      </c>
      <c r="G335" s="63" t="str">
        <f>IF($J335=0,"",IF(INDEX('Прайс и заказ'!K:K,$J335)="","",INDEX('Прайс и заказ'!K:K,$J335)))</f>
      </c>
      <c r="H335" s="62" t="str">
        <f>IF($J335=0,"",IF(INDEX('Прайс и заказ'!L:L,$J335)="","",INDEX('Прайс и заказ'!L:L,$J335)))</f>
      </c>
      <c r="I335" s="13" t="str">
        <f>IF($J335=0,"",IF(INDEX('Прайс и заказ'!M:M,$J335)="","",INDEX('Прайс и заказ'!M:M,$J335)))</f>
      </c>
      <c r="J335" t="str">
        <f>IFERROR(MATCH(327,'Прайс и заказ'!$N$7:$N$435,0)+6,0)</f>
      </c>
    </row>
    <row r="336" spans="1:11" customHeight="1" ht="40">
      <c r="A336" s="13" t="str">
        <f>IF($J336=0,"",IFERROR(_xlfn.IMAGE(INDEX('Прайс и заказ'!$O:$O,$J336)),""))</f>
      </c>
      <c r="B336" s="61" t="str">
        <f>IF($J336=0,"",IF(INDEX('Прайс и заказ'!B:B,$J336)="","",INDEX('Прайс и заказ'!B:B,$J336)))</f>
      </c>
      <c r="C336" s="64" t="str">
        <f>IF($J336=0,"",IF(INDEX('Прайс и заказ'!C:C,$J336)="","",INDEX('Прайс и заказ'!C:C,$J336)))</f>
      </c>
      <c r="D336" s="64" t="str">
        <f>IF($J336=0,"",IF(INDEX('Прайс и заказ'!D:D,$J336)="","",INDEX('Прайс и заказ'!D:D,$J336)))</f>
      </c>
      <c r="E336" s="61" t="str">
        <f>IF($J336=0,"",IF(INDEX('Прайс и заказ'!F:F,$J336)="","",INDEX('Прайс и заказ'!F:F,$J336)))</f>
      </c>
      <c r="F336" s="62" t="str">
        <f>IF($J336=0,"",IF(INDEX('Прайс и заказ'!I:I,$J336)="","",INDEX('Прайс и заказ'!I:I,$J336)))</f>
      </c>
      <c r="G336" s="63" t="str">
        <f>IF($J336=0,"",IF(INDEX('Прайс и заказ'!K:K,$J336)="","",INDEX('Прайс и заказ'!K:K,$J336)))</f>
      </c>
      <c r="H336" s="62" t="str">
        <f>IF($J336=0,"",IF(INDEX('Прайс и заказ'!L:L,$J336)="","",INDEX('Прайс и заказ'!L:L,$J336)))</f>
      </c>
      <c r="I336" s="13" t="str">
        <f>IF($J336=0,"",IF(INDEX('Прайс и заказ'!M:M,$J336)="","",INDEX('Прайс и заказ'!M:M,$J336)))</f>
      </c>
      <c r="J336" t="str">
        <f>IFERROR(MATCH(328,'Прайс и заказ'!$N$7:$N$435,0)+6,0)</f>
      </c>
    </row>
    <row r="337" spans="1:11" customHeight="1" ht="40">
      <c r="A337" s="13" t="str">
        <f>IF($J337=0,"",IFERROR(_xlfn.IMAGE(INDEX('Прайс и заказ'!$O:$O,$J337)),""))</f>
      </c>
      <c r="B337" s="61" t="str">
        <f>IF($J337=0,"",IF(INDEX('Прайс и заказ'!B:B,$J337)="","",INDEX('Прайс и заказ'!B:B,$J337)))</f>
      </c>
      <c r="C337" s="64" t="str">
        <f>IF($J337=0,"",IF(INDEX('Прайс и заказ'!C:C,$J337)="","",INDEX('Прайс и заказ'!C:C,$J337)))</f>
      </c>
      <c r="D337" s="64" t="str">
        <f>IF($J337=0,"",IF(INDEX('Прайс и заказ'!D:D,$J337)="","",INDEX('Прайс и заказ'!D:D,$J337)))</f>
      </c>
      <c r="E337" s="61" t="str">
        <f>IF($J337=0,"",IF(INDEX('Прайс и заказ'!F:F,$J337)="","",INDEX('Прайс и заказ'!F:F,$J337)))</f>
      </c>
      <c r="F337" s="62" t="str">
        <f>IF($J337=0,"",IF(INDEX('Прайс и заказ'!I:I,$J337)="","",INDEX('Прайс и заказ'!I:I,$J337)))</f>
      </c>
      <c r="G337" s="63" t="str">
        <f>IF($J337=0,"",IF(INDEX('Прайс и заказ'!K:K,$J337)="","",INDEX('Прайс и заказ'!K:K,$J337)))</f>
      </c>
      <c r="H337" s="62" t="str">
        <f>IF($J337=0,"",IF(INDEX('Прайс и заказ'!L:L,$J337)="","",INDEX('Прайс и заказ'!L:L,$J337)))</f>
      </c>
      <c r="I337" s="13" t="str">
        <f>IF($J337=0,"",IF(INDEX('Прайс и заказ'!M:M,$J337)="","",INDEX('Прайс и заказ'!M:M,$J337)))</f>
      </c>
      <c r="J337" t="str">
        <f>IFERROR(MATCH(329,'Прайс и заказ'!$N$7:$N$435,0)+6,0)</f>
      </c>
    </row>
    <row r="338" spans="1:11" customHeight="1" ht="40">
      <c r="A338" s="13" t="str">
        <f>IF($J338=0,"",IFERROR(_xlfn.IMAGE(INDEX('Прайс и заказ'!$O:$O,$J338)),""))</f>
      </c>
      <c r="B338" s="61" t="str">
        <f>IF($J338=0,"",IF(INDEX('Прайс и заказ'!B:B,$J338)="","",INDEX('Прайс и заказ'!B:B,$J338)))</f>
      </c>
      <c r="C338" s="64" t="str">
        <f>IF($J338=0,"",IF(INDEX('Прайс и заказ'!C:C,$J338)="","",INDEX('Прайс и заказ'!C:C,$J338)))</f>
      </c>
      <c r="D338" s="64" t="str">
        <f>IF($J338=0,"",IF(INDEX('Прайс и заказ'!D:D,$J338)="","",INDEX('Прайс и заказ'!D:D,$J338)))</f>
      </c>
      <c r="E338" s="61" t="str">
        <f>IF($J338=0,"",IF(INDEX('Прайс и заказ'!F:F,$J338)="","",INDEX('Прайс и заказ'!F:F,$J338)))</f>
      </c>
      <c r="F338" s="62" t="str">
        <f>IF($J338=0,"",IF(INDEX('Прайс и заказ'!I:I,$J338)="","",INDEX('Прайс и заказ'!I:I,$J338)))</f>
      </c>
      <c r="G338" s="63" t="str">
        <f>IF($J338=0,"",IF(INDEX('Прайс и заказ'!K:K,$J338)="","",INDEX('Прайс и заказ'!K:K,$J338)))</f>
      </c>
      <c r="H338" s="62" t="str">
        <f>IF($J338=0,"",IF(INDEX('Прайс и заказ'!L:L,$J338)="","",INDEX('Прайс и заказ'!L:L,$J338)))</f>
      </c>
      <c r="I338" s="13" t="str">
        <f>IF($J338=0,"",IF(INDEX('Прайс и заказ'!M:M,$J338)="","",INDEX('Прайс и заказ'!M:M,$J338)))</f>
      </c>
      <c r="J338" t="str">
        <f>IFERROR(MATCH(330,'Прайс и заказ'!$N$7:$N$435,0)+6,0)</f>
      </c>
    </row>
    <row r="339" spans="1:11" customHeight="1" ht="40">
      <c r="A339" s="13" t="str">
        <f>IF($J339=0,"",IFERROR(_xlfn.IMAGE(INDEX('Прайс и заказ'!$O:$O,$J339)),""))</f>
      </c>
      <c r="B339" s="61" t="str">
        <f>IF($J339=0,"",IF(INDEX('Прайс и заказ'!B:B,$J339)="","",INDEX('Прайс и заказ'!B:B,$J339)))</f>
      </c>
      <c r="C339" s="64" t="str">
        <f>IF($J339=0,"",IF(INDEX('Прайс и заказ'!C:C,$J339)="","",INDEX('Прайс и заказ'!C:C,$J339)))</f>
      </c>
      <c r="D339" s="64" t="str">
        <f>IF($J339=0,"",IF(INDEX('Прайс и заказ'!D:D,$J339)="","",INDEX('Прайс и заказ'!D:D,$J339)))</f>
      </c>
      <c r="E339" s="61" t="str">
        <f>IF($J339=0,"",IF(INDEX('Прайс и заказ'!F:F,$J339)="","",INDEX('Прайс и заказ'!F:F,$J339)))</f>
      </c>
      <c r="F339" s="62" t="str">
        <f>IF($J339=0,"",IF(INDEX('Прайс и заказ'!I:I,$J339)="","",INDEX('Прайс и заказ'!I:I,$J339)))</f>
      </c>
      <c r="G339" s="63" t="str">
        <f>IF($J339=0,"",IF(INDEX('Прайс и заказ'!K:K,$J339)="","",INDEX('Прайс и заказ'!K:K,$J339)))</f>
      </c>
      <c r="H339" s="62" t="str">
        <f>IF($J339=0,"",IF(INDEX('Прайс и заказ'!L:L,$J339)="","",INDEX('Прайс и заказ'!L:L,$J339)))</f>
      </c>
      <c r="I339" s="13" t="str">
        <f>IF($J339=0,"",IF(INDEX('Прайс и заказ'!M:M,$J339)="","",INDEX('Прайс и заказ'!M:M,$J339)))</f>
      </c>
      <c r="J339" t="str">
        <f>IFERROR(MATCH(331,'Прайс и заказ'!$N$7:$N$435,0)+6,0)</f>
      </c>
    </row>
    <row r="340" spans="1:11" customHeight="1" ht="40">
      <c r="A340" s="13" t="str">
        <f>IF($J340=0,"",IFERROR(_xlfn.IMAGE(INDEX('Прайс и заказ'!$O:$O,$J340)),""))</f>
      </c>
      <c r="B340" s="61" t="str">
        <f>IF($J340=0,"",IF(INDEX('Прайс и заказ'!B:B,$J340)="","",INDEX('Прайс и заказ'!B:B,$J340)))</f>
      </c>
      <c r="C340" s="64" t="str">
        <f>IF($J340=0,"",IF(INDEX('Прайс и заказ'!C:C,$J340)="","",INDEX('Прайс и заказ'!C:C,$J340)))</f>
      </c>
      <c r="D340" s="64" t="str">
        <f>IF($J340=0,"",IF(INDEX('Прайс и заказ'!D:D,$J340)="","",INDEX('Прайс и заказ'!D:D,$J340)))</f>
      </c>
      <c r="E340" s="61" t="str">
        <f>IF($J340=0,"",IF(INDEX('Прайс и заказ'!F:F,$J340)="","",INDEX('Прайс и заказ'!F:F,$J340)))</f>
      </c>
      <c r="F340" s="62" t="str">
        <f>IF($J340=0,"",IF(INDEX('Прайс и заказ'!I:I,$J340)="","",INDEX('Прайс и заказ'!I:I,$J340)))</f>
      </c>
      <c r="G340" s="63" t="str">
        <f>IF($J340=0,"",IF(INDEX('Прайс и заказ'!K:K,$J340)="","",INDEX('Прайс и заказ'!K:K,$J340)))</f>
      </c>
      <c r="H340" s="62" t="str">
        <f>IF($J340=0,"",IF(INDEX('Прайс и заказ'!L:L,$J340)="","",INDEX('Прайс и заказ'!L:L,$J340)))</f>
      </c>
      <c r="I340" s="13" t="str">
        <f>IF($J340=0,"",IF(INDEX('Прайс и заказ'!M:M,$J340)="","",INDEX('Прайс и заказ'!M:M,$J340)))</f>
      </c>
      <c r="J340" t="str">
        <f>IFERROR(MATCH(332,'Прайс и заказ'!$N$7:$N$435,0)+6,0)</f>
      </c>
    </row>
    <row r="341" spans="1:11" customHeight="1" ht="40">
      <c r="A341" s="13" t="str">
        <f>IF($J341=0,"",IFERROR(_xlfn.IMAGE(INDEX('Прайс и заказ'!$O:$O,$J341)),""))</f>
      </c>
      <c r="B341" s="61" t="str">
        <f>IF($J341=0,"",IF(INDEX('Прайс и заказ'!B:B,$J341)="","",INDEX('Прайс и заказ'!B:B,$J341)))</f>
      </c>
      <c r="C341" s="64" t="str">
        <f>IF($J341=0,"",IF(INDEX('Прайс и заказ'!C:C,$J341)="","",INDEX('Прайс и заказ'!C:C,$J341)))</f>
      </c>
      <c r="D341" s="64" t="str">
        <f>IF($J341=0,"",IF(INDEX('Прайс и заказ'!D:D,$J341)="","",INDEX('Прайс и заказ'!D:D,$J341)))</f>
      </c>
      <c r="E341" s="61" t="str">
        <f>IF($J341=0,"",IF(INDEX('Прайс и заказ'!F:F,$J341)="","",INDEX('Прайс и заказ'!F:F,$J341)))</f>
      </c>
      <c r="F341" s="62" t="str">
        <f>IF($J341=0,"",IF(INDEX('Прайс и заказ'!I:I,$J341)="","",INDEX('Прайс и заказ'!I:I,$J341)))</f>
      </c>
      <c r="G341" s="63" t="str">
        <f>IF($J341=0,"",IF(INDEX('Прайс и заказ'!K:K,$J341)="","",INDEX('Прайс и заказ'!K:K,$J341)))</f>
      </c>
      <c r="H341" s="62" t="str">
        <f>IF($J341=0,"",IF(INDEX('Прайс и заказ'!L:L,$J341)="","",INDEX('Прайс и заказ'!L:L,$J341)))</f>
      </c>
      <c r="I341" s="13" t="str">
        <f>IF($J341=0,"",IF(INDEX('Прайс и заказ'!M:M,$J341)="","",INDEX('Прайс и заказ'!M:M,$J341)))</f>
      </c>
      <c r="J341" t="str">
        <f>IFERROR(MATCH(333,'Прайс и заказ'!$N$7:$N$435,0)+6,0)</f>
      </c>
    </row>
    <row r="342" spans="1:11" customHeight="1" ht="40">
      <c r="A342" s="13" t="str">
        <f>IF($J342=0,"",IFERROR(_xlfn.IMAGE(INDEX('Прайс и заказ'!$O:$O,$J342)),""))</f>
      </c>
      <c r="B342" s="61" t="str">
        <f>IF($J342=0,"",IF(INDEX('Прайс и заказ'!B:B,$J342)="","",INDEX('Прайс и заказ'!B:B,$J342)))</f>
      </c>
      <c r="C342" s="64" t="str">
        <f>IF($J342=0,"",IF(INDEX('Прайс и заказ'!C:C,$J342)="","",INDEX('Прайс и заказ'!C:C,$J342)))</f>
      </c>
      <c r="D342" s="64" t="str">
        <f>IF($J342=0,"",IF(INDEX('Прайс и заказ'!D:D,$J342)="","",INDEX('Прайс и заказ'!D:D,$J342)))</f>
      </c>
      <c r="E342" s="61" t="str">
        <f>IF($J342=0,"",IF(INDEX('Прайс и заказ'!F:F,$J342)="","",INDEX('Прайс и заказ'!F:F,$J342)))</f>
      </c>
      <c r="F342" s="62" t="str">
        <f>IF($J342=0,"",IF(INDEX('Прайс и заказ'!I:I,$J342)="","",INDEX('Прайс и заказ'!I:I,$J342)))</f>
      </c>
      <c r="G342" s="63" t="str">
        <f>IF($J342=0,"",IF(INDEX('Прайс и заказ'!K:K,$J342)="","",INDEX('Прайс и заказ'!K:K,$J342)))</f>
      </c>
      <c r="H342" s="62" t="str">
        <f>IF($J342=0,"",IF(INDEX('Прайс и заказ'!L:L,$J342)="","",INDEX('Прайс и заказ'!L:L,$J342)))</f>
      </c>
      <c r="I342" s="13" t="str">
        <f>IF($J342=0,"",IF(INDEX('Прайс и заказ'!M:M,$J342)="","",INDEX('Прайс и заказ'!M:M,$J342)))</f>
      </c>
      <c r="J342" t="str">
        <f>IFERROR(MATCH(334,'Прайс и заказ'!$N$7:$N$435,0)+6,0)</f>
      </c>
    </row>
    <row r="343" spans="1:11" customHeight="1" ht="40">
      <c r="A343" s="13" t="str">
        <f>IF($J343=0,"",IFERROR(_xlfn.IMAGE(INDEX('Прайс и заказ'!$O:$O,$J343)),""))</f>
      </c>
      <c r="B343" s="61" t="str">
        <f>IF($J343=0,"",IF(INDEX('Прайс и заказ'!B:B,$J343)="","",INDEX('Прайс и заказ'!B:B,$J343)))</f>
      </c>
      <c r="C343" s="64" t="str">
        <f>IF($J343=0,"",IF(INDEX('Прайс и заказ'!C:C,$J343)="","",INDEX('Прайс и заказ'!C:C,$J343)))</f>
      </c>
      <c r="D343" s="64" t="str">
        <f>IF($J343=0,"",IF(INDEX('Прайс и заказ'!D:D,$J343)="","",INDEX('Прайс и заказ'!D:D,$J343)))</f>
      </c>
      <c r="E343" s="61" t="str">
        <f>IF($J343=0,"",IF(INDEX('Прайс и заказ'!F:F,$J343)="","",INDEX('Прайс и заказ'!F:F,$J343)))</f>
      </c>
      <c r="F343" s="62" t="str">
        <f>IF($J343=0,"",IF(INDEX('Прайс и заказ'!I:I,$J343)="","",INDEX('Прайс и заказ'!I:I,$J343)))</f>
      </c>
      <c r="G343" s="63" t="str">
        <f>IF($J343=0,"",IF(INDEX('Прайс и заказ'!K:K,$J343)="","",INDEX('Прайс и заказ'!K:K,$J343)))</f>
      </c>
      <c r="H343" s="62" t="str">
        <f>IF($J343=0,"",IF(INDEX('Прайс и заказ'!L:L,$J343)="","",INDEX('Прайс и заказ'!L:L,$J343)))</f>
      </c>
      <c r="I343" s="13" t="str">
        <f>IF($J343=0,"",IF(INDEX('Прайс и заказ'!M:M,$J343)="","",INDEX('Прайс и заказ'!M:M,$J343)))</f>
      </c>
      <c r="J343" t="str">
        <f>IFERROR(MATCH(335,'Прайс и заказ'!$N$7:$N$435,0)+6,0)</f>
      </c>
    </row>
    <row r="344" spans="1:11" customHeight="1" ht="40">
      <c r="A344" s="13" t="str">
        <f>IF($J344=0,"",IFERROR(_xlfn.IMAGE(INDEX('Прайс и заказ'!$O:$O,$J344)),""))</f>
      </c>
      <c r="B344" s="61" t="str">
        <f>IF($J344=0,"",IF(INDEX('Прайс и заказ'!B:B,$J344)="","",INDEX('Прайс и заказ'!B:B,$J344)))</f>
      </c>
      <c r="C344" s="64" t="str">
        <f>IF($J344=0,"",IF(INDEX('Прайс и заказ'!C:C,$J344)="","",INDEX('Прайс и заказ'!C:C,$J344)))</f>
      </c>
      <c r="D344" s="64" t="str">
        <f>IF($J344=0,"",IF(INDEX('Прайс и заказ'!D:D,$J344)="","",INDEX('Прайс и заказ'!D:D,$J344)))</f>
      </c>
      <c r="E344" s="61" t="str">
        <f>IF($J344=0,"",IF(INDEX('Прайс и заказ'!F:F,$J344)="","",INDEX('Прайс и заказ'!F:F,$J344)))</f>
      </c>
      <c r="F344" s="62" t="str">
        <f>IF($J344=0,"",IF(INDEX('Прайс и заказ'!I:I,$J344)="","",INDEX('Прайс и заказ'!I:I,$J344)))</f>
      </c>
      <c r="G344" s="63" t="str">
        <f>IF($J344=0,"",IF(INDEX('Прайс и заказ'!K:K,$J344)="","",INDEX('Прайс и заказ'!K:K,$J344)))</f>
      </c>
      <c r="H344" s="62" t="str">
        <f>IF($J344=0,"",IF(INDEX('Прайс и заказ'!L:L,$J344)="","",INDEX('Прайс и заказ'!L:L,$J344)))</f>
      </c>
      <c r="I344" s="13" t="str">
        <f>IF($J344=0,"",IF(INDEX('Прайс и заказ'!M:M,$J344)="","",INDEX('Прайс и заказ'!M:M,$J344)))</f>
      </c>
      <c r="J344" t="str">
        <f>IFERROR(MATCH(336,'Прайс и заказ'!$N$7:$N$435,0)+6,0)</f>
      </c>
    </row>
    <row r="345" spans="1:11" customHeight="1" ht="40">
      <c r="A345" s="13" t="str">
        <f>IF($J345=0,"",IFERROR(_xlfn.IMAGE(INDEX('Прайс и заказ'!$O:$O,$J345)),""))</f>
      </c>
      <c r="B345" s="61" t="str">
        <f>IF($J345=0,"",IF(INDEX('Прайс и заказ'!B:B,$J345)="","",INDEX('Прайс и заказ'!B:B,$J345)))</f>
      </c>
      <c r="C345" s="64" t="str">
        <f>IF($J345=0,"",IF(INDEX('Прайс и заказ'!C:C,$J345)="","",INDEX('Прайс и заказ'!C:C,$J345)))</f>
      </c>
      <c r="D345" s="64" t="str">
        <f>IF($J345=0,"",IF(INDEX('Прайс и заказ'!D:D,$J345)="","",INDEX('Прайс и заказ'!D:D,$J345)))</f>
      </c>
      <c r="E345" s="61" t="str">
        <f>IF($J345=0,"",IF(INDEX('Прайс и заказ'!F:F,$J345)="","",INDEX('Прайс и заказ'!F:F,$J345)))</f>
      </c>
      <c r="F345" s="62" t="str">
        <f>IF($J345=0,"",IF(INDEX('Прайс и заказ'!I:I,$J345)="","",INDEX('Прайс и заказ'!I:I,$J345)))</f>
      </c>
      <c r="G345" s="63" t="str">
        <f>IF($J345=0,"",IF(INDEX('Прайс и заказ'!K:K,$J345)="","",INDEX('Прайс и заказ'!K:K,$J345)))</f>
      </c>
      <c r="H345" s="62" t="str">
        <f>IF($J345=0,"",IF(INDEX('Прайс и заказ'!L:L,$J345)="","",INDEX('Прайс и заказ'!L:L,$J345)))</f>
      </c>
      <c r="I345" s="13" t="str">
        <f>IF($J345=0,"",IF(INDEX('Прайс и заказ'!M:M,$J345)="","",INDEX('Прайс и заказ'!M:M,$J345)))</f>
      </c>
      <c r="J345" t="str">
        <f>IFERROR(MATCH(337,'Прайс и заказ'!$N$7:$N$435,0)+6,0)</f>
      </c>
    </row>
    <row r="346" spans="1:11" customHeight="1" ht="40">
      <c r="A346" s="13" t="str">
        <f>IF($J346=0,"",IFERROR(_xlfn.IMAGE(INDEX('Прайс и заказ'!$O:$O,$J346)),""))</f>
      </c>
      <c r="B346" s="61" t="str">
        <f>IF($J346=0,"",IF(INDEX('Прайс и заказ'!B:B,$J346)="","",INDEX('Прайс и заказ'!B:B,$J346)))</f>
      </c>
      <c r="C346" s="64" t="str">
        <f>IF($J346=0,"",IF(INDEX('Прайс и заказ'!C:C,$J346)="","",INDEX('Прайс и заказ'!C:C,$J346)))</f>
      </c>
      <c r="D346" s="64" t="str">
        <f>IF($J346=0,"",IF(INDEX('Прайс и заказ'!D:D,$J346)="","",INDEX('Прайс и заказ'!D:D,$J346)))</f>
      </c>
      <c r="E346" s="61" t="str">
        <f>IF($J346=0,"",IF(INDEX('Прайс и заказ'!F:F,$J346)="","",INDEX('Прайс и заказ'!F:F,$J346)))</f>
      </c>
      <c r="F346" s="62" t="str">
        <f>IF($J346=0,"",IF(INDEX('Прайс и заказ'!I:I,$J346)="","",INDEX('Прайс и заказ'!I:I,$J346)))</f>
      </c>
      <c r="G346" s="63" t="str">
        <f>IF($J346=0,"",IF(INDEX('Прайс и заказ'!K:K,$J346)="","",INDEX('Прайс и заказ'!K:K,$J346)))</f>
      </c>
      <c r="H346" s="62" t="str">
        <f>IF($J346=0,"",IF(INDEX('Прайс и заказ'!L:L,$J346)="","",INDEX('Прайс и заказ'!L:L,$J346)))</f>
      </c>
      <c r="I346" s="13" t="str">
        <f>IF($J346=0,"",IF(INDEX('Прайс и заказ'!M:M,$J346)="","",INDEX('Прайс и заказ'!M:M,$J346)))</f>
      </c>
      <c r="J346" t="str">
        <f>IFERROR(MATCH(338,'Прайс и заказ'!$N$7:$N$435,0)+6,0)</f>
      </c>
    </row>
    <row r="347" spans="1:11" customHeight="1" ht="40">
      <c r="A347" s="13" t="str">
        <f>IF($J347=0,"",IFERROR(_xlfn.IMAGE(INDEX('Прайс и заказ'!$O:$O,$J347)),""))</f>
      </c>
      <c r="B347" s="61" t="str">
        <f>IF($J347=0,"",IF(INDEX('Прайс и заказ'!B:B,$J347)="","",INDEX('Прайс и заказ'!B:B,$J347)))</f>
      </c>
      <c r="C347" s="64" t="str">
        <f>IF($J347=0,"",IF(INDEX('Прайс и заказ'!C:C,$J347)="","",INDEX('Прайс и заказ'!C:C,$J347)))</f>
      </c>
      <c r="D347" s="64" t="str">
        <f>IF($J347=0,"",IF(INDEX('Прайс и заказ'!D:D,$J347)="","",INDEX('Прайс и заказ'!D:D,$J347)))</f>
      </c>
      <c r="E347" s="61" t="str">
        <f>IF($J347=0,"",IF(INDEX('Прайс и заказ'!F:F,$J347)="","",INDEX('Прайс и заказ'!F:F,$J347)))</f>
      </c>
      <c r="F347" s="62" t="str">
        <f>IF($J347=0,"",IF(INDEX('Прайс и заказ'!I:I,$J347)="","",INDEX('Прайс и заказ'!I:I,$J347)))</f>
      </c>
      <c r="G347" s="63" t="str">
        <f>IF($J347=0,"",IF(INDEX('Прайс и заказ'!K:K,$J347)="","",INDEX('Прайс и заказ'!K:K,$J347)))</f>
      </c>
      <c r="H347" s="62" t="str">
        <f>IF($J347=0,"",IF(INDEX('Прайс и заказ'!L:L,$J347)="","",INDEX('Прайс и заказ'!L:L,$J347)))</f>
      </c>
      <c r="I347" s="13" t="str">
        <f>IF($J347=0,"",IF(INDEX('Прайс и заказ'!M:M,$J347)="","",INDEX('Прайс и заказ'!M:M,$J347)))</f>
      </c>
      <c r="J347" t="str">
        <f>IFERROR(MATCH(339,'Прайс и заказ'!$N$7:$N$435,0)+6,0)</f>
      </c>
    </row>
    <row r="348" spans="1:11" customHeight="1" ht="40">
      <c r="A348" s="13" t="str">
        <f>IF($J348=0,"",IFERROR(_xlfn.IMAGE(INDEX('Прайс и заказ'!$O:$O,$J348)),""))</f>
      </c>
      <c r="B348" s="61" t="str">
        <f>IF($J348=0,"",IF(INDEX('Прайс и заказ'!B:B,$J348)="","",INDEX('Прайс и заказ'!B:B,$J348)))</f>
      </c>
      <c r="C348" s="64" t="str">
        <f>IF($J348=0,"",IF(INDEX('Прайс и заказ'!C:C,$J348)="","",INDEX('Прайс и заказ'!C:C,$J348)))</f>
      </c>
      <c r="D348" s="64" t="str">
        <f>IF($J348=0,"",IF(INDEX('Прайс и заказ'!D:D,$J348)="","",INDEX('Прайс и заказ'!D:D,$J348)))</f>
      </c>
      <c r="E348" s="61" t="str">
        <f>IF($J348=0,"",IF(INDEX('Прайс и заказ'!F:F,$J348)="","",INDEX('Прайс и заказ'!F:F,$J348)))</f>
      </c>
      <c r="F348" s="62" t="str">
        <f>IF($J348=0,"",IF(INDEX('Прайс и заказ'!I:I,$J348)="","",INDEX('Прайс и заказ'!I:I,$J348)))</f>
      </c>
      <c r="G348" s="63" t="str">
        <f>IF($J348=0,"",IF(INDEX('Прайс и заказ'!K:K,$J348)="","",INDEX('Прайс и заказ'!K:K,$J348)))</f>
      </c>
      <c r="H348" s="62" t="str">
        <f>IF($J348=0,"",IF(INDEX('Прайс и заказ'!L:L,$J348)="","",INDEX('Прайс и заказ'!L:L,$J348)))</f>
      </c>
      <c r="I348" s="13" t="str">
        <f>IF($J348=0,"",IF(INDEX('Прайс и заказ'!M:M,$J348)="","",INDEX('Прайс и заказ'!M:M,$J348)))</f>
      </c>
      <c r="J348" t="str">
        <f>IFERROR(MATCH(340,'Прайс и заказ'!$N$7:$N$435,0)+6,0)</f>
      </c>
    </row>
    <row r="349" spans="1:11" customHeight="1" ht="40">
      <c r="A349" s="13" t="str">
        <f>IF($J349=0,"",IFERROR(_xlfn.IMAGE(INDEX('Прайс и заказ'!$O:$O,$J349)),""))</f>
      </c>
      <c r="B349" s="61" t="str">
        <f>IF($J349=0,"",IF(INDEX('Прайс и заказ'!B:B,$J349)="","",INDEX('Прайс и заказ'!B:B,$J349)))</f>
      </c>
      <c r="C349" s="64" t="str">
        <f>IF($J349=0,"",IF(INDEX('Прайс и заказ'!C:C,$J349)="","",INDEX('Прайс и заказ'!C:C,$J349)))</f>
      </c>
      <c r="D349" s="64" t="str">
        <f>IF($J349=0,"",IF(INDEX('Прайс и заказ'!D:D,$J349)="","",INDEX('Прайс и заказ'!D:D,$J349)))</f>
      </c>
      <c r="E349" s="61" t="str">
        <f>IF($J349=0,"",IF(INDEX('Прайс и заказ'!F:F,$J349)="","",INDEX('Прайс и заказ'!F:F,$J349)))</f>
      </c>
      <c r="F349" s="62" t="str">
        <f>IF($J349=0,"",IF(INDEX('Прайс и заказ'!I:I,$J349)="","",INDEX('Прайс и заказ'!I:I,$J349)))</f>
      </c>
      <c r="G349" s="63" t="str">
        <f>IF($J349=0,"",IF(INDEX('Прайс и заказ'!K:K,$J349)="","",INDEX('Прайс и заказ'!K:K,$J349)))</f>
      </c>
      <c r="H349" s="62" t="str">
        <f>IF($J349=0,"",IF(INDEX('Прайс и заказ'!L:L,$J349)="","",INDEX('Прайс и заказ'!L:L,$J349)))</f>
      </c>
      <c r="I349" s="13" t="str">
        <f>IF($J349=0,"",IF(INDEX('Прайс и заказ'!M:M,$J349)="","",INDEX('Прайс и заказ'!M:M,$J349)))</f>
      </c>
      <c r="J349" t="str">
        <f>IFERROR(MATCH(341,'Прайс и заказ'!$N$7:$N$435,0)+6,0)</f>
      </c>
    </row>
    <row r="350" spans="1:11" customHeight="1" ht="40">
      <c r="A350" s="13" t="str">
        <f>IF($J350=0,"",IFERROR(_xlfn.IMAGE(INDEX('Прайс и заказ'!$O:$O,$J350)),""))</f>
      </c>
      <c r="B350" s="61" t="str">
        <f>IF($J350=0,"",IF(INDEX('Прайс и заказ'!B:B,$J350)="","",INDEX('Прайс и заказ'!B:B,$J350)))</f>
      </c>
      <c r="C350" s="64" t="str">
        <f>IF($J350=0,"",IF(INDEX('Прайс и заказ'!C:C,$J350)="","",INDEX('Прайс и заказ'!C:C,$J350)))</f>
      </c>
      <c r="D350" s="64" t="str">
        <f>IF($J350=0,"",IF(INDEX('Прайс и заказ'!D:D,$J350)="","",INDEX('Прайс и заказ'!D:D,$J350)))</f>
      </c>
      <c r="E350" s="61" t="str">
        <f>IF($J350=0,"",IF(INDEX('Прайс и заказ'!F:F,$J350)="","",INDEX('Прайс и заказ'!F:F,$J350)))</f>
      </c>
      <c r="F350" s="62" t="str">
        <f>IF($J350=0,"",IF(INDEX('Прайс и заказ'!I:I,$J350)="","",INDEX('Прайс и заказ'!I:I,$J350)))</f>
      </c>
      <c r="G350" s="63" t="str">
        <f>IF($J350=0,"",IF(INDEX('Прайс и заказ'!K:K,$J350)="","",INDEX('Прайс и заказ'!K:K,$J350)))</f>
      </c>
      <c r="H350" s="62" t="str">
        <f>IF($J350=0,"",IF(INDEX('Прайс и заказ'!L:L,$J350)="","",INDEX('Прайс и заказ'!L:L,$J350)))</f>
      </c>
      <c r="I350" s="13" t="str">
        <f>IF($J350=0,"",IF(INDEX('Прайс и заказ'!M:M,$J350)="","",INDEX('Прайс и заказ'!M:M,$J350)))</f>
      </c>
      <c r="J350" t="str">
        <f>IFERROR(MATCH(342,'Прайс и заказ'!$N$7:$N$435,0)+6,0)</f>
      </c>
    </row>
    <row r="351" spans="1:11" customHeight="1" ht="40">
      <c r="A351" s="13" t="str">
        <f>IF($J351=0,"",IFERROR(_xlfn.IMAGE(INDEX('Прайс и заказ'!$O:$O,$J351)),""))</f>
      </c>
      <c r="B351" s="61" t="str">
        <f>IF($J351=0,"",IF(INDEX('Прайс и заказ'!B:B,$J351)="","",INDEX('Прайс и заказ'!B:B,$J351)))</f>
      </c>
      <c r="C351" s="64" t="str">
        <f>IF($J351=0,"",IF(INDEX('Прайс и заказ'!C:C,$J351)="","",INDEX('Прайс и заказ'!C:C,$J351)))</f>
      </c>
      <c r="D351" s="64" t="str">
        <f>IF($J351=0,"",IF(INDEX('Прайс и заказ'!D:D,$J351)="","",INDEX('Прайс и заказ'!D:D,$J351)))</f>
      </c>
      <c r="E351" s="61" t="str">
        <f>IF($J351=0,"",IF(INDEX('Прайс и заказ'!F:F,$J351)="","",INDEX('Прайс и заказ'!F:F,$J351)))</f>
      </c>
      <c r="F351" s="62" t="str">
        <f>IF($J351=0,"",IF(INDEX('Прайс и заказ'!I:I,$J351)="","",INDEX('Прайс и заказ'!I:I,$J351)))</f>
      </c>
      <c r="G351" s="63" t="str">
        <f>IF($J351=0,"",IF(INDEX('Прайс и заказ'!K:K,$J351)="","",INDEX('Прайс и заказ'!K:K,$J351)))</f>
      </c>
      <c r="H351" s="62" t="str">
        <f>IF($J351=0,"",IF(INDEX('Прайс и заказ'!L:L,$J351)="","",INDEX('Прайс и заказ'!L:L,$J351)))</f>
      </c>
      <c r="I351" s="13" t="str">
        <f>IF($J351=0,"",IF(INDEX('Прайс и заказ'!M:M,$J351)="","",INDEX('Прайс и заказ'!M:M,$J351)))</f>
      </c>
      <c r="J351" t="str">
        <f>IFERROR(MATCH(343,'Прайс и заказ'!$N$7:$N$435,0)+6,0)</f>
      </c>
    </row>
    <row r="352" spans="1:11" customHeight="1" ht="40">
      <c r="A352" s="13" t="str">
        <f>IF($J352=0,"",IFERROR(_xlfn.IMAGE(INDEX('Прайс и заказ'!$O:$O,$J352)),""))</f>
      </c>
      <c r="B352" s="61" t="str">
        <f>IF($J352=0,"",IF(INDEX('Прайс и заказ'!B:B,$J352)="","",INDEX('Прайс и заказ'!B:B,$J352)))</f>
      </c>
      <c r="C352" s="64" t="str">
        <f>IF($J352=0,"",IF(INDEX('Прайс и заказ'!C:C,$J352)="","",INDEX('Прайс и заказ'!C:C,$J352)))</f>
      </c>
      <c r="D352" s="64" t="str">
        <f>IF($J352=0,"",IF(INDEX('Прайс и заказ'!D:D,$J352)="","",INDEX('Прайс и заказ'!D:D,$J352)))</f>
      </c>
      <c r="E352" s="61" t="str">
        <f>IF($J352=0,"",IF(INDEX('Прайс и заказ'!F:F,$J352)="","",INDEX('Прайс и заказ'!F:F,$J352)))</f>
      </c>
      <c r="F352" s="62" t="str">
        <f>IF($J352=0,"",IF(INDEX('Прайс и заказ'!I:I,$J352)="","",INDEX('Прайс и заказ'!I:I,$J352)))</f>
      </c>
      <c r="G352" s="63" t="str">
        <f>IF($J352=0,"",IF(INDEX('Прайс и заказ'!K:K,$J352)="","",INDEX('Прайс и заказ'!K:K,$J352)))</f>
      </c>
      <c r="H352" s="62" t="str">
        <f>IF($J352=0,"",IF(INDEX('Прайс и заказ'!L:L,$J352)="","",INDEX('Прайс и заказ'!L:L,$J352)))</f>
      </c>
      <c r="I352" s="13" t="str">
        <f>IF($J352=0,"",IF(INDEX('Прайс и заказ'!M:M,$J352)="","",INDEX('Прайс и заказ'!M:M,$J352)))</f>
      </c>
      <c r="J352" t="str">
        <f>IFERROR(MATCH(344,'Прайс и заказ'!$N$7:$N$435,0)+6,0)</f>
      </c>
    </row>
    <row r="353" spans="1:11" customHeight="1" ht="40">
      <c r="A353" s="13" t="str">
        <f>IF($J353=0,"",IFERROR(_xlfn.IMAGE(INDEX('Прайс и заказ'!$O:$O,$J353)),""))</f>
      </c>
      <c r="B353" s="61" t="str">
        <f>IF($J353=0,"",IF(INDEX('Прайс и заказ'!B:B,$J353)="","",INDEX('Прайс и заказ'!B:B,$J353)))</f>
      </c>
      <c r="C353" s="64" t="str">
        <f>IF($J353=0,"",IF(INDEX('Прайс и заказ'!C:C,$J353)="","",INDEX('Прайс и заказ'!C:C,$J353)))</f>
      </c>
      <c r="D353" s="64" t="str">
        <f>IF($J353=0,"",IF(INDEX('Прайс и заказ'!D:D,$J353)="","",INDEX('Прайс и заказ'!D:D,$J353)))</f>
      </c>
      <c r="E353" s="61" t="str">
        <f>IF($J353=0,"",IF(INDEX('Прайс и заказ'!F:F,$J353)="","",INDEX('Прайс и заказ'!F:F,$J353)))</f>
      </c>
      <c r="F353" s="62" t="str">
        <f>IF($J353=0,"",IF(INDEX('Прайс и заказ'!I:I,$J353)="","",INDEX('Прайс и заказ'!I:I,$J353)))</f>
      </c>
      <c r="G353" s="63" t="str">
        <f>IF($J353=0,"",IF(INDEX('Прайс и заказ'!K:K,$J353)="","",INDEX('Прайс и заказ'!K:K,$J353)))</f>
      </c>
      <c r="H353" s="62" t="str">
        <f>IF($J353=0,"",IF(INDEX('Прайс и заказ'!L:L,$J353)="","",INDEX('Прайс и заказ'!L:L,$J353)))</f>
      </c>
      <c r="I353" s="13" t="str">
        <f>IF($J353=0,"",IF(INDEX('Прайс и заказ'!M:M,$J353)="","",INDEX('Прайс и заказ'!M:M,$J353)))</f>
      </c>
      <c r="J353" t="str">
        <f>IFERROR(MATCH(345,'Прайс и заказ'!$N$7:$N$435,0)+6,0)</f>
      </c>
    </row>
    <row r="354" spans="1:11" customHeight="1" ht="40">
      <c r="A354" s="13" t="str">
        <f>IF($J354=0,"",IFERROR(_xlfn.IMAGE(INDEX('Прайс и заказ'!$O:$O,$J354)),""))</f>
      </c>
      <c r="B354" s="61" t="str">
        <f>IF($J354=0,"",IF(INDEX('Прайс и заказ'!B:B,$J354)="","",INDEX('Прайс и заказ'!B:B,$J354)))</f>
      </c>
      <c r="C354" s="64" t="str">
        <f>IF($J354=0,"",IF(INDEX('Прайс и заказ'!C:C,$J354)="","",INDEX('Прайс и заказ'!C:C,$J354)))</f>
      </c>
      <c r="D354" s="64" t="str">
        <f>IF($J354=0,"",IF(INDEX('Прайс и заказ'!D:D,$J354)="","",INDEX('Прайс и заказ'!D:D,$J354)))</f>
      </c>
      <c r="E354" s="61" t="str">
        <f>IF($J354=0,"",IF(INDEX('Прайс и заказ'!F:F,$J354)="","",INDEX('Прайс и заказ'!F:F,$J354)))</f>
      </c>
      <c r="F354" s="62" t="str">
        <f>IF($J354=0,"",IF(INDEX('Прайс и заказ'!I:I,$J354)="","",INDEX('Прайс и заказ'!I:I,$J354)))</f>
      </c>
      <c r="G354" s="63" t="str">
        <f>IF($J354=0,"",IF(INDEX('Прайс и заказ'!K:K,$J354)="","",INDEX('Прайс и заказ'!K:K,$J354)))</f>
      </c>
      <c r="H354" s="62" t="str">
        <f>IF($J354=0,"",IF(INDEX('Прайс и заказ'!L:L,$J354)="","",INDEX('Прайс и заказ'!L:L,$J354)))</f>
      </c>
      <c r="I354" s="13" t="str">
        <f>IF($J354=0,"",IF(INDEX('Прайс и заказ'!M:M,$J354)="","",INDEX('Прайс и заказ'!M:M,$J354)))</f>
      </c>
      <c r="J354" t="str">
        <f>IFERROR(MATCH(346,'Прайс и заказ'!$N$7:$N$435,0)+6,0)</f>
      </c>
    </row>
    <row r="355" spans="1:11" customHeight="1" ht="40">
      <c r="A355" s="13" t="str">
        <f>IF($J355=0,"",IFERROR(_xlfn.IMAGE(INDEX('Прайс и заказ'!$O:$O,$J355)),""))</f>
      </c>
      <c r="B355" s="61" t="str">
        <f>IF($J355=0,"",IF(INDEX('Прайс и заказ'!B:B,$J355)="","",INDEX('Прайс и заказ'!B:B,$J355)))</f>
      </c>
      <c r="C355" s="64" t="str">
        <f>IF($J355=0,"",IF(INDEX('Прайс и заказ'!C:C,$J355)="","",INDEX('Прайс и заказ'!C:C,$J355)))</f>
      </c>
      <c r="D355" s="64" t="str">
        <f>IF($J355=0,"",IF(INDEX('Прайс и заказ'!D:D,$J355)="","",INDEX('Прайс и заказ'!D:D,$J355)))</f>
      </c>
      <c r="E355" s="61" t="str">
        <f>IF($J355=0,"",IF(INDEX('Прайс и заказ'!F:F,$J355)="","",INDEX('Прайс и заказ'!F:F,$J355)))</f>
      </c>
      <c r="F355" s="62" t="str">
        <f>IF($J355=0,"",IF(INDEX('Прайс и заказ'!I:I,$J355)="","",INDEX('Прайс и заказ'!I:I,$J355)))</f>
      </c>
      <c r="G355" s="63" t="str">
        <f>IF($J355=0,"",IF(INDEX('Прайс и заказ'!K:K,$J355)="","",INDEX('Прайс и заказ'!K:K,$J355)))</f>
      </c>
      <c r="H355" s="62" t="str">
        <f>IF($J355=0,"",IF(INDEX('Прайс и заказ'!L:L,$J355)="","",INDEX('Прайс и заказ'!L:L,$J355)))</f>
      </c>
      <c r="I355" s="13" t="str">
        <f>IF($J355=0,"",IF(INDEX('Прайс и заказ'!M:M,$J355)="","",INDEX('Прайс и заказ'!M:M,$J355)))</f>
      </c>
      <c r="J355" t="str">
        <f>IFERROR(MATCH(347,'Прайс и заказ'!$N$7:$N$435,0)+6,0)</f>
      </c>
    </row>
    <row r="356" spans="1:11" customHeight="1" ht="40">
      <c r="A356" s="13" t="str">
        <f>IF($J356=0,"",IFERROR(_xlfn.IMAGE(INDEX('Прайс и заказ'!$O:$O,$J356)),""))</f>
      </c>
      <c r="B356" s="61" t="str">
        <f>IF($J356=0,"",IF(INDEX('Прайс и заказ'!B:B,$J356)="","",INDEX('Прайс и заказ'!B:B,$J356)))</f>
      </c>
      <c r="C356" s="64" t="str">
        <f>IF($J356=0,"",IF(INDEX('Прайс и заказ'!C:C,$J356)="","",INDEX('Прайс и заказ'!C:C,$J356)))</f>
      </c>
      <c r="D356" s="64" t="str">
        <f>IF($J356=0,"",IF(INDEX('Прайс и заказ'!D:D,$J356)="","",INDEX('Прайс и заказ'!D:D,$J356)))</f>
      </c>
      <c r="E356" s="61" t="str">
        <f>IF($J356=0,"",IF(INDEX('Прайс и заказ'!F:F,$J356)="","",INDEX('Прайс и заказ'!F:F,$J356)))</f>
      </c>
      <c r="F356" s="62" t="str">
        <f>IF($J356=0,"",IF(INDEX('Прайс и заказ'!I:I,$J356)="","",INDEX('Прайс и заказ'!I:I,$J356)))</f>
      </c>
      <c r="G356" s="63" t="str">
        <f>IF($J356=0,"",IF(INDEX('Прайс и заказ'!K:K,$J356)="","",INDEX('Прайс и заказ'!K:K,$J356)))</f>
      </c>
      <c r="H356" s="62" t="str">
        <f>IF($J356=0,"",IF(INDEX('Прайс и заказ'!L:L,$J356)="","",INDEX('Прайс и заказ'!L:L,$J356)))</f>
      </c>
      <c r="I356" s="13" t="str">
        <f>IF($J356=0,"",IF(INDEX('Прайс и заказ'!M:M,$J356)="","",INDEX('Прайс и заказ'!M:M,$J356)))</f>
      </c>
      <c r="J356" t="str">
        <f>IFERROR(MATCH(348,'Прайс и заказ'!$N$7:$N$435,0)+6,0)</f>
      </c>
    </row>
    <row r="357" spans="1:11" customHeight="1" ht="40">
      <c r="A357" s="13" t="str">
        <f>IF($J357=0,"",IFERROR(_xlfn.IMAGE(INDEX('Прайс и заказ'!$O:$O,$J357)),""))</f>
      </c>
      <c r="B357" s="61" t="str">
        <f>IF($J357=0,"",IF(INDEX('Прайс и заказ'!B:B,$J357)="","",INDEX('Прайс и заказ'!B:B,$J357)))</f>
      </c>
      <c r="C357" s="64" t="str">
        <f>IF($J357=0,"",IF(INDEX('Прайс и заказ'!C:C,$J357)="","",INDEX('Прайс и заказ'!C:C,$J357)))</f>
      </c>
      <c r="D357" s="64" t="str">
        <f>IF($J357=0,"",IF(INDEX('Прайс и заказ'!D:D,$J357)="","",INDEX('Прайс и заказ'!D:D,$J357)))</f>
      </c>
      <c r="E357" s="61" t="str">
        <f>IF($J357=0,"",IF(INDEX('Прайс и заказ'!F:F,$J357)="","",INDEX('Прайс и заказ'!F:F,$J357)))</f>
      </c>
      <c r="F357" s="62" t="str">
        <f>IF($J357=0,"",IF(INDEX('Прайс и заказ'!I:I,$J357)="","",INDEX('Прайс и заказ'!I:I,$J357)))</f>
      </c>
      <c r="G357" s="63" t="str">
        <f>IF($J357=0,"",IF(INDEX('Прайс и заказ'!K:K,$J357)="","",INDEX('Прайс и заказ'!K:K,$J357)))</f>
      </c>
      <c r="H357" s="62" t="str">
        <f>IF($J357=0,"",IF(INDEX('Прайс и заказ'!L:L,$J357)="","",INDEX('Прайс и заказ'!L:L,$J357)))</f>
      </c>
      <c r="I357" s="13" t="str">
        <f>IF($J357=0,"",IF(INDEX('Прайс и заказ'!M:M,$J357)="","",INDEX('Прайс и заказ'!M:M,$J357)))</f>
      </c>
      <c r="J357" t="str">
        <f>IFERROR(MATCH(349,'Прайс и заказ'!$N$7:$N$435,0)+6,0)</f>
      </c>
    </row>
    <row r="358" spans="1:11" customHeight="1" ht="40">
      <c r="A358" s="13" t="str">
        <f>IF($J358=0,"",IFERROR(_xlfn.IMAGE(INDEX('Прайс и заказ'!$O:$O,$J358)),""))</f>
      </c>
      <c r="B358" s="61" t="str">
        <f>IF($J358=0,"",IF(INDEX('Прайс и заказ'!B:B,$J358)="","",INDEX('Прайс и заказ'!B:B,$J358)))</f>
      </c>
      <c r="C358" s="64" t="str">
        <f>IF($J358=0,"",IF(INDEX('Прайс и заказ'!C:C,$J358)="","",INDEX('Прайс и заказ'!C:C,$J358)))</f>
      </c>
      <c r="D358" s="64" t="str">
        <f>IF($J358=0,"",IF(INDEX('Прайс и заказ'!D:D,$J358)="","",INDEX('Прайс и заказ'!D:D,$J358)))</f>
      </c>
      <c r="E358" s="61" t="str">
        <f>IF($J358=0,"",IF(INDEX('Прайс и заказ'!F:F,$J358)="","",INDEX('Прайс и заказ'!F:F,$J358)))</f>
      </c>
      <c r="F358" s="62" t="str">
        <f>IF($J358=0,"",IF(INDEX('Прайс и заказ'!I:I,$J358)="","",INDEX('Прайс и заказ'!I:I,$J358)))</f>
      </c>
      <c r="G358" s="63" t="str">
        <f>IF($J358=0,"",IF(INDEX('Прайс и заказ'!K:K,$J358)="","",INDEX('Прайс и заказ'!K:K,$J358)))</f>
      </c>
      <c r="H358" s="62" t="str">
        <f>IF($J358=0,"",IF(INDEX('Прайс и заказ'!L:L,$J358)="","",INDEX('Прайс и заказ'!L:L,$J358)))</f>
      </c>
      <c r="I358" s="13" t="str">
        <f>IF($J358=0,"",IF(INDEX('Прайс и заказ'!M:M,$J358)="","",INDEX('Прайс и заказ'!M:M,$J358)))</f>
      </c>
      <c r="J358" t="str">
        <f>IFERROR(MATCH(350,'Прайс и заказ'!$N$7:$N$435,0)+6,0)</f>
      </c>
    </row>
    <row r="359" spans="1:11" customHeight="1" ht="40">
      <c r="A359" s="13" t="str">
        <f>IF($J359=0,"",IFERROR(_xlfn.IMAGE(INDEX('Прайс и заказ'!$O:$O,$J359)),""))</f>
      </c>
      <c r="B359" s="61" t="str">
        <f>IF($J359=0,"",IF(INDEX('Прайс и заказ'!B:B,$J359)="","",INDEX('Прайс и заказ'!B:B,$J359)))</f>
      </c>
      <c r="C359" s="64" t="str">
        <f>IF($J359=0,"",IF(INDEX('Прайс и заказ'!C:C,$J359)="","",INDEX('Прайс и заказ'!C:C,$J359)))</f>
      </c>
      <c r="D359" s="64" t="str">
        <f>IF($J359=0,"",IF(INDEX('Прайс и заказ'!D:D,$J359)="","",INDEX('Прайс и заказ'!D:D,$J359)))</f>
      </c>
      <c r="E359" s="61" t="str">
        <f>IF($J359=0,"",IF(INDEX('Прайс и заказ'!F:F,$J359)="","",INDEX('Прайс и заказ'!F:F,$J359)))</f>
      </c>
      <c r="F359" s="62" t="str">
        <f>IF($J359=0,"",IF(INDEX('Прайс и заказ'!I:I,$J359)="","",INDEX('Прайс и заказ'!I:I,$J359)))</f>
      </c>
      <c r="G359" s="63" t="str">
        <f>IF($J359=0,"",IF(INDEX('Прайс и заказ'!K:K,$J359)="","",INDEX('Прайс и заказ'!K:K,$J359)))</f>
      </c>
      <c r="H359" s="62" t="str">
        <f>IF($J359=0,"",IF(INDEX('Прайс и заказ'!L:L,$J359)="","",INDEX('Прайс и заказ'!L:L,$J359)))</f>
      </c>
      <c r="I359" s="13" t="str">
        <f>IF($J359=0,"",IF(INDEX('Прайс и заказ'!M:M,$J359)="","",INDEX('Прайс и заказ'!M:M,$J359)))</f>
      </c>
      <c r="J359" t="str">
        <f>IFERROR(MATCH(351,'Прайс и заказ'!$N$7:$N$435,0)+6,0)</f>
      </c>
    </row>
    <row r="360" spans="1:11" customHeight="1" ht="40">
      <c r="A360" s="13" t="str">
        <f>IF($J360=0,"",IFERROR(_xlfn.IMAGE(INDEX('Прайс и заказ'!$O:$O,$J360)),""))</f>
      </c>
      <c r="B360" s="61" t="str">
        <f>IF($J360=0,"",IF(INDEX('Прайс и заказ'!B:B,$J360)="","",INDEX('Прайс и заказ'!B:B,$J360)))</f>
      </c>
      <c r="C360" s="64" t="str">
        <f>IF($J360=0,"",IF(INDEX('Прайс и заказ'!C:C,$J360)="","",INDEX('Прайс и заказ'!C:C,$J360)))</f>
      </c>
      <c r="D360" s="64" t="str">
        <f>IF($J360=0,"",IF(INDEX('Прайс и заказ'!D:D,$J360)="","",INDEX('Прайс и заказ'!D:D,$J360)))</f>
      </c>
      <c r="E360" s="61" t="str">
        <f>IF($J360=0,"",IF(INDEX('Прайс и заказ'!F:F,$J360)="","",INDEX('Прайс и заказ'!F:F,$J360)))</f>
      </c>
      <c r="F360" s="62" t="str">
        <f>IF($J360=0,"",IF(INDEX('Прайс и заказ'!I:I,$J360)="","",INDEX('Прайс и заказ'!I:I,$J360)))</f>
      </c>
      <c r="G360" s="63" t="str">
        <f>IF($J360=0,"",IF(INDEX('Прайс и заказ'!K:K,$J360)="","",INDEX('Прайс и заказ'!K:K,$J360)))</f>
      </c>
      <c r="H360" s="62" t="str">
        <f>IF($J360=0,"",IF(INDEX('Прайс и заказ'!L:L,$J360)="","",INDEX('Прайс и заказ'!L:L,$J360)))</f>
      </c>
      <c r="I360" s="13" t="str">
        <f>IF($J360=0,"",IF(INDEX('Прайс и заказ'!M:M,$J360)="","",INDEX('Прайс и заказ'!M:M,$J360)))</f>
      </c>
      <c r="J360" t="str">
        <f>IFERROR(MATCH(352,'Прайс и заказ'!$N$7:$N$435,0)+6,0)</f>
      </c>
    </row>
    <row r="361" spans="1:11" customHeight="1" ht="40">
      <c r="A361" s="13" t="str">
        <f>IF($J361=0,"",IFERROR(_xlfn.IMAGE(INDEX('Прайс и заказ'!$O:$O,$J361)),""))</f>
      </c>
      <c r="B361" s="61" t="str">
        <f>IF($J361=0,"",IF(INDEX('Прайс и заказ'!B:B,$J361)="","",INDEX('Прайс и заказ'!B:B,$J361)))</f>
      </c>
      <c r="C361" s="64" t="str">
        <f>IF($J361=0,"",IF(INDEX('Прайс и заказ'!C:C,$J361)="","",INDEX('Прайс и заказ'!C:C,$J361)))</f>
      </c>
      <c r="D361" s="64" t="str">
        <f>IF($J361=0,"",IF(INDEX('Прайс и заказ'!D:D,$J361)="","",INDEX('Прайс и заказ'!D:D,$J361)))</f>
      </c>
      <c r="E361" s="61" t="str">
        <f>IF($J361=0,"",IF(INDEX('Прайс и заказ'!F:F,$J361)="","",INDEX('Прайс и заказ'!F:F,$J361)))</f>
      </c>
      <c r="F361" s="62" t="str">
        <f>IF($J361=0,"",IF(INDEX('Прайс и заказ'!I:I,$J361)="","",INDEX('Прайс и заказ'!I:I,$J361)))</f>
      </c>
      <c r="G361" s="63" t="str">
        <f>IF($J361=0,"",IF(INDEX('Прайс и заказ'!K:K,$J361)="","",INDEX('Прайс и заказ'!K:K,$J361)))</f>
      </c>
      <c r="H361" s="62" t="str">
        <f>IF($J361=0,"",IF(INDEX('Прайс и заказ'!L:L,$J361)="","",INDEX('Прайс и заказ'!L:L,$J361)))</f>
      </c>
      <c r="I361" s="13" t="str">
        <f>IF($J361=0,"",IF(INDEX('Прайс и заказ'!M:M,$J361)="","",INDEX('Прайс и заказ'!M:M,$J361)))</f>
      </c>
      <c r="J361" t="str">
        <f>IFERROR(MATCH(353,'Прайс и заказ'!$N$7:$N$435,0)+6,0)</f>
      </c>
    </row>
    <row r="362" spans="1:11" customHeight="1" ht="40">
      <c r="A362" s="13" t="str">
        <f>IF($J362=0,"",IFERROR(_xlfn.IMAGE(INDEX('Прайс и заказ'!$O:$O,$J362)),""))</f>
      </c>
      <c r="B362" s="61" t="str">
        <f>IF($J362=0,"",IF(INDEX('Прайс и заказ'!B:B,$J362)="","",INDEX('Прайс и заказ'!B:B,$J362)))</f>
      </c>
      <c r="C362" s="64" t="str">
        <f>IF($J362=0,"",IF(INDEX('Прайс и заказ'!C:C,$J362)="","",INDEX('Прайс и заказ'!C:C,$J362)))</f>
      </c>
      <c r="D362" s="64" t="str">
        <f>IF($J362=0,"",IF(INDEX('Прайс и заказ'!D:D,$J362)="","",INDEX('Прайс и заказ'!D:D,$J362)))</f>
      </c>
      <c r="E362" s="61" t="str">
        <f>IF($J362=0,"",IF(INDEX('Прайс и заказ'!F:F,$J362)="","",INDEX('Прайс и заказ'!F:F,$J362)))</f>
      </c>
      <c r="F362" s="62" t="str">
        <f>IF($J362=0,"",IF(INDEX('Прайс и заказ'!I:I,$J362)="","",INDEX('Прайс и заказ'!I:I,$J362)))</f>
      </c>
      <c r="G362" s="63" t="str">
        <f>IF($J362=0,"",IF(INDEX('Прайс и заказ'!K:K,$J362)="","",INDEX('Прайс и заказ'!K:K,$J362)))</f>
      </c>
      <c r="H362" s="62" t="str">
        <f>IF($J362=0,"",IF(INDEX('Прайс и заказ'!L:L,$J362)="","",INDEX('Прайс и заказ'!L:L,$J362)))</f>
      </c>
      <c r="I362" s="13" t="str">
        <f>IF($J362=0,"",IF(INDEX('Прайс и заказ'!M:M,$J362)="","",INDEX('Прайс и заказ'!M:M,$J362)))</f>
      </c>
      <c r="J362" t="str">
        <f>IFERROR(MATCH(354,'Прайс и заказ'!$N$7:$N$435,0)+6,0)</f>
      </c>
    </row>
    <row r="363" spans="1:11" customHeight="1" ht="40">
      <c r="A363" s="13" t="str">
        <f>IF($J363=0,"",IFERROR(_xlfn.IMAGE(INDEX('Прайс и заказ'!$O:$O,$J363)),""))</f>
      </c>
      <c r="B363" s="61" t="str">
        <f>IF($J363=0,"",IF(INDEX('Прайс и заказ'!B:B,$J363)="","",INDEX('Прайс и заказ'!B:B,$J363)))</f>
      </c>
      <c r="C363" s="64" t="str">
        <f>IF($J363=0,"",IF(INDEX('Прайс и заказ'!C:C,$J363)="","",INDEX('Прайс и заказ'!C:C,$J363)))</f>
      </c>
      <c r="D363" s="64" t="str">
        <f>IF($J363=0,"",IF(INDEX('Прайс и заказ'!D:D,$J363)="","",INDEX('Прайс и заказ'!D:D,$J363)))</f>
      </c>
      <c r="E363" s="61" t="str">
        <f>IF($J363=0,"",IF(INDEX('Прайс и заказ'!F:F,$J363)="","",INDEX('Прайс и заказ'!F:F,$J363)))</f>
      </c>
      <c r="F363" s="62" t="str">
        <f>IF($J363=0,"",IF(INDEX('Прайс и заказ'!I:I,$J363)="","",INDEX('Прайс и заказ'!I:I,$J363)))</f>
      </c>
      <c r="G363" s="63" t="str">
        <f>IF($J363=0,"",IF(INDEX('Прайс и заказ'!K:K,$J363)="","",INDEX('Прайс и заказ'!K:K,$J363)))</f>
      </c>
      <c r="H363" s="62" t="str">
        <f>IF($J363=0,"",IF(INDEX('Прайс и заказ'!L:L,$J363)="","",INDEX('Прайс и заказ'!L:L,$J363)))</f>
      </c>
      <c r="I363" s="13" t="str">
        <f>IF($J363=0,"",IF(INDEX('Прайс и заказ'!M:M,$J363)="","",INDEX('Прайс и заказ'!M:M,$J363)))</f>
      </c>
      <c r="J363" t="str">
        <f>IFERROR(MATCH(355,'Прайс и заказ'!$N$7:$N$435,0)+6,0)</f>
      </c>
    </row>
    <row r="364" spans="1:11" customHeight="1" ht="40">
      <c r="A364" s="13" t="str">
        <f>IF($J364=0,"",IFERROR(_xlfn.IMAGE(INDEX('Прайс и заказ'!$O:$O,$J364)),""))</f>
      </c>
      <c r="B364" s="61" t="str">
        <f>IF($J364=0,"",IF(INDEX('Прайс и заказ'!B:B,$J364)="","",INDEX('Прайс и заказ'!B:B,$J364)))</f>
      </c>
      <c r="C364" s="64" t="str">
        <f>IF($J364=0,"",IF(INDEX('Прайс и заказ'!C:C,$J364)="","",INDEX('Прайс и заказ'!C:C,$J364)))</f>
      </c>
      <c r="D364" s="64" t="str">
        <f>IF($J364=0,"",IF(INDEX('Прайс и заказ'!D:D,$J364)="","",INDEX('Прайс и заказ'!D:D,$J364)))</f>
      </c>
      <c r="E364" s="61" t="str">
        <f>IF($J364=0,"",IF(INDEX('Прайс и заказ'!F:F,$J364)="","",INDEX('Прайс и заказ'!F:F,$J364)))</f>
      </c>
      <c r="F364" s="62" t="str">
        <f>IF($J364=0,"",IF(INDEX('Прайс и заказ'!I:I,$J364)="","",INDEX('Прайс и заказ'!I:I,$J364)))</f>
      </c>
      <c r="G364" s="63" t="str">
        <f>IF($J364=0,"",IF(INDEX('Прайс и заказ'!K:K,$J364)="","",INDEX('Прайс и заказ'!K:K,$J364)))</f>
      </c>
      <c r="H364" s="62" t="str">
        <f>IF($J364=0,"",IF(INDEX('Прайс и заказ'!L:L,$J364)="","",INDEX('Прайс и заказ'!L:L,$J364)))</f>
      </c>
      <c r="I364" s="13" t="str">
        <f>IF($J364=0,"",IF(INDEX('Прайс и заказ'!M:M,$J364)="","",INDEX('Прайс и заказ'!M:M,$J364)))</f>
      </c>
      <c r="J364" t="str">
        <f>IFERROR(MATCH(356,'Прайс и заказ'!$N$7:$N$435,0)+6,0)</f>
      </c>
    </row>
    <row r="365" spans="1:11" customHeight="1" ht="40">
      <c r="A365" s="13" t="str">
        <f>IF($J365=0,"",IFERROR(_xlfn.IMAGE(INDEX('Прайс и заказ'!$O:$O,$J365)),""))</f>
      </c>
      <c r="B365" s="61" t="str">
        <f>IF($J365=0,"",IF(INDEX('Прайс и заказ'!B:B,$J365)="","",INDEX('Прайс и заказ'!B:B,$J365)))</f>
      </c>
      <c r="C365" s="64" t="str">
        <f>IF($J365=0,"",IF(INDEX('Прайс и заказ'!C:C,$J365)="","",INDEX('Прайс и заказ'!C:C,$J365)))</f>
      </c>
      <c r="D365" s="64" t="str">
        <f>IF($J365=0,"",IF(INDEX('Прайс и заказ'!D:D,$J365)="","",INDEX('Прайс и заказ'!D:D,$J365)))</f>
      </c>
      <c r="E365" s="61" t="str">
        <f>IF($J365=0,"",IF(INDEX('Прайс и заказ'!F:F,$J365)="","",INDEX('Прайс и заказ'!F:F,$J365)))</f>
      </c>
      <c r="F365" s="62" t="str">
        <f>IF($J365=0,"",IF(INDEX('Прайс и заказ'!I:I,$J365)="","",INDEX('Прайс и заказ'!I:I,$J365)))</f>
      </c>
      <c r="G365" s="63" t="str">
        <f>IF($J365=0,"",IF(INDEX('Прайс и заказ'!K:K,$J365)="","",INDEX('Прайс и заказ'!K:K,$J365)))</f>
      </c>
      <c r="H365" s="62" t="str">
        <f>IF($J365=0,"",IF(INDEX('Прайс и заказ'!L:L,$J365)="","",INDEX('Прайс и заказ'!L:L,$J365)))</f>
      </c>
      <c r="I365" s="13" t="str">
        <f>IF($J365=0,"",IF(INDEX('Прайс и заказ'!M:M,$J365)="","",INDEX('Прайс и заказ'!M:M,$J365)))</f>
      </c>
      <c r="J365" t="str">
        <f>IFERROR(MATCH(357,'Прайс и заказ'!$N$7:$N$435,0)+6,0)</f>
      </c>
    </row>
    <row r="366" spans="1:11" customHeight="1" ht="40">
      <c r="A366" s="13" t="str">
        <f>IF($J366=0,"",IFERROR(_xlfn.IMAGE(INDEX('Прайс и заказ'!$O:$O,$J366)),""))</f>
      </c>
      <c r="B366" s="61" t="str">
        <f>IF($J366=0,"",IF(INDEX('Прайс и заказ'!B:B,$J366)="","",INDEX('Прайс и заказ'!B:B,$J366)))</f>
      </c>
      <c r="C366" s="64" t="str">
        <f>IF($J366=0,"",IF(INDEX('Прайс и заказ'!C:C,$J366)="","",INDEX('Прайс и заказ'!C:C,$J366)))</f>
      </c>
      <c r="D366" s="64" t="str">
        <f>IF($J366=0,"",IF(INDEX('Прайс и заказ'!D:D,$J366)="","",INDEX('Прайс и заказ'!D:D,$J366)))</f>
      </c>
      <c r="E366" s="61" t="str">
        <f>IF($J366=0,"",IF(INDEX('Прайс и заказ'!F:F,$J366)="","",INDEX('Прайс и заказ'!F:F,$J366)))</f>
      </c>
      <c r="F366" s="62" t="str">
        <f>IF($J366=0,"",IF(INDEX('Прайс и заказ'!I:I,$J366)="","",INDEX('Прайс и заказ'!I:I,$J366)))</f>
      </c>
      <c r="G366" s="63" t="str">
        <f>IF($J366=0,"",IF(INDEX('Прайс и заказ'!K:K,$J366)="","",INDEX('Прайс и заказ'!K:K,$J366)))</f>
      </c>
      <c r="H366" s="62" t="str">
        <f>IF($J366=0,"",IF(INDEX('Прайс и заказ'!L:L,$J366)="","",INDEX('Прайс и заказ'!L:L,$J366)))</f>
      </c>
      <c r="I366" s="13" t="str">
        <f>IF($J366=0,"",IF(INDEX('Прайс и заказ'!M:M,$J366)="","",INDEX('Прайс и заказ'!M:M,$J366)))</f>
      </c>
      <c r="J366" t="str">
        <f>IFERROR(MATCH(358,'Прайс и заказ'!$N$7:$N$435,0)+6,0)</f>
      </c>
    </row>
    <row r="367" spans="1:11" customHeight="1" ht="40">
      <c r="A367" s="13" t="str">
        <f>IF($J367=0,"",IFERROR(_xlfn.IMAGE(INDEX('Прайс и заказ'!$O:$O,$J367)),""))</f>
      </c>
      <c r="B367" s="61" t="str">
        <f>IF($J367=0,"",IF(INDEX('Прайс и заказ'!B:B,$J367)="","",INDEX('Прайс и заказ'!B:B,$J367)))</f>
      </c>
      <c r="C367" s="64" t="str">
        <f>IF($J367=0,"",IF(INDEX('Прайс и заказ'!C:C,$J367)="","",INDEX('Прайс и заказ'!C:C,$J367)))</f>
      </c>
      <c r="D367" s="64" t="str">
        <f>IF($J367=0,"",IF(INDEX('Прайс и заказ'!D:D,$J367)="","",INDEX('Прайс и заказ'!D:D,$J367)))</f>
      </c>
      <c r="E367" s="61" t="str">
        <f>IF($J367=0,"",IF(INDEX('Прайс и заказ'!F:F,$J367)="","",INDEX('Прайс и заказ'!F:F,$J367)))</f>
      </c>
      <c r="F367" s="62" t="str">
        <f>IF($J367=0,"",IF(INDEX('Прайс и заказ'!I:I,$J367)="","",INDEX('Прайс и заказ'!I:I,$J367)))</f>
      </c>
      <c r="G367" s="63" t="str">
        <f>IF($J367=0,"",IF(INDEX('Прайс и заказ'!K:K,$J367)="","",INDEX('Прайс и заказ'!K:K,$J367)))</f>
      </c>
      <c r="H367" s="62" t="str">
        <f>IF($J367=0,"",IF(INDEX('Прайс и заказ'!L:L,$J367)="","",INDEX('Прайс и заказ'!L:L,$J367)))</f>
      </c>
      <c r="I367" s="13" t="str">
        <f>IF($J367=0,"",IF(INDEX('Прайс и заказ'!M:M,$J367)="","",INDEX('Прайс и заказ'!M:M,$J367)))</f>
      </c>
      <c r="J367" t="str">
        <f>IFERROR(MATCH(359,'Прайс и заказ'!$N$7:$N$435,0)+6,0)</f>
      </c>
    </row>
    <row r="368" spans="1:11" customHeight="1" ht="40">
      <c r="A368" s="13" t="str">
        <f>IF($J368=0,"",IFERROR(_xlfn.IMAGE(INDEX('Прайс и заказ'!$O:$O,$J368)),""))</f>
      </c>
      <c r="B368" s="61" t="str">
        <f>IF($J368=0,"",IF(INDEX('Прайс и заказ'!B:B,$J368)="","",INDEX('Прайс и заказ'!B:B,$J368)))</f>
      </c>
      <c r="C368" s="64" t="str">
        <f>IF($J368=0,"",IF(INDEX('Прайс и заказ'!C:C,$J368)="","",INDEX('Прайс и заказ'!C:C,$J368)))</f>
      </c>
      <c r="D368" s="64" t="str">
        <f>IF($J368=0,"",IF(INDEX('Прайс и заказ'!D:D,$J368)="","",INDEX('Прайс и заказ'!D:D,$J368)))</f>
      </c>
      <c r="E368" s="61" t="str">
        <f>IF($J368=0,"",IF(INDEX('Прайс и заказ'!F:F,$J368)="","",INDEX('Прайс и заказ'!F:F,$J368)))</f>
      </c>
      <c r="F368" s="62" t="str">
        <f>IF($J368=0,"",IF(INDEX('Прайс и заказ'!I:I,$J368)="","",INDEX('Прайс и заказ'!I:I,$J368)))</f>
      </c>
      <c r="G368" s="63" t="str">
        <f>IF($J368=0,"",IF(INDEX('Прайс и заказ'!K:K,$J368)="","",INDEX('Прайс и заказ'!K:K,$J368)))</f>
      </c>
      <c r="H368" s="62" t="str">
        <f>IF($J368=0,"",IF(INDEX('Прайс и заказ'!L:L,$J368)="","",INDEX('Прайс и заказ'!L:L,$J368)))</f>
      </c>
      <c r="I368" s="13" t="str">
        <f>IF($J368=0,"",IF(INDEX('Прайс и заказ'!M:M,$J368)="","",INDEX('Прайс и заказ'!M:M,$J368)))</f>
      </c>
      <c r="J368" t="str">
        <f>IFERROR(MATCH(360,'Прайс и заказ'!$N$7:$N$435,0)+6,0)</f>
      </c>
    </row>
    <row r="369" spans="1:11" customHeight="1" ht="40">
      <c r="A369" s="13" t="str">
        <f>IF($J369=0,"",IFERROR(_xlfn.IMAGE(INDEX('Прайс и заказ'!$O:$O,$J369)),""))</f>
      </c>
      <c r="B369" s="61" t="str">
        <f>IF($J369=0,"",IF(INDEX('Прайс и заказ'!B:B,$J369)="","",INDEX('Прайс и заказ'!B:B,$J369)))</f>
      </c>
      <c r="C369" s="64" t="str">
        <f>IF($J369=0,"",IF(INDEX('Прайс и заказ'!C:C,$J369)="","",INDEX('Прайс и заказ'!C:C,$J369)))</f>
      </c>
      <c r="D369" s="64" t="str">
        <f>IF($J369=0,"",IF(INDEX('Прайс и заказ'!D:D,$J369)="","",INDEX('Прайс и заказ'!D:D,$J369)))</f>
      </c>
      <c r="E369" s="61" t="str">
        <f>IF($J369=0,"",IF(INDEX('Прайс и заказ'!F:F,$J369)="","",INDEX('Прайс и заказ'!F:F,$J369)))</f>
      </c>
      <c r="F369" s="62" t="str">
        <f>IF($J369=0,"",IF(INDEX('Прайс и заказ'!I:I,$J369)="","",INDEX('Прайс и заказ'!I:I,$J369)))</f>
      </c>
      <c r="G369" s="63" t="str">
        <f>IF($J369=0,"",IF(INDEX('Прайс и заказ'!K:K,$J369)="","",INDEX('Прайс и заказ'!K:K,$J369)))</f>
      </c>
      <c r="H369" s="62" t="str">
        <f>IF($J369=0,"",IF(INDEX('Прайс и заказ'!L:L,$J369)="","",INDEX('Прайс и заказ'!L:L,$J369)))</f>
      </c>
      <c r="I369" s="13" t="str">
        <f>IF($J369=0,"",IF(INDEX('Прайс и заказ'!M:M,$J369)="","",INDEX('Прайс и заказ'!M:M,$J369)))</f>
      </c>
      <c r="J369" t="str">
        <f>IFERROR(MATCH(361,'Прайс и заказ'!$N$7:$N$435,0)+6,0)</f>
      </c>
    </row>
    <row r="370" spans="1:11" customHeight="1" ht="40">
      <c r="A370" s="13" t="str">
        <f>IF($J370=0,"",IFERROR(_xlfn.IMAGE(INDEX('Прайс и заказ'!$O:$O,$J370)),""))</f>
      </c>
      <c r="B370" s="61" t="str">
        <f>IF($J370=0,"",IF(INDEX('Прайс и заказ'!B:B,$J370)="","",INDEX('Прайс и заказ'!B:B,$J370)))</f>
      </c>
      <c r="C370" s="64" t="str">
        <f>IF($J370=0,"",IF(INDEX('Прайс и заказ'!C:C,$J370)="","",INDEX('Прайс и заказ'!C:C,$J370)))</f>
      </c>
      <c r="D370" s="64" t="str">
        <f>IF($J370=0,"",IF(INDEX('Прайс и заказ'!D:D,$J370)="","",INDEX('Прайс и заказ'!D:D,$J370)))</f>
      </c>
      <c r="E370" s="61" t="str">
        <f>IF($J370=0,"",IF(INDEX('Прайс и заказ'!F:F,$J370)="","",INDEX('Прайс и заказ'!F:F,$J370)))</f>
      </c>
      <c r="F370" s="62" t="str">
        <f>IF($J370=0,"",IF(INDEX('Прайс и заказ'!I:I,$J370)="","",INDEX('Прайс и заказ'!I:I,$J370)))</f>
      </c>
      <c r="G370" s="63" t="str">
        <f>IF($J370=0,"",IF(INDEX('Прайс и заказ'!K:K,$J370)="","",INDEX('Прайс и заказ'!K:K,$J370)))</f>
      </c>
      <c r="H370" s="62" t="str">
        <f>IF($J370=0,"",IF(INDEX('Прайс и заказ'!L:L,$J370)="","",INDEX('Прайс и заказ'!L:L,$J370)))</f>
      </c>
      <c r="I370" s="13" t="str">
        <f>IF($J370=0,"",IF(INDEX('Прайс и заказ'!M:M,$J370)="","",INDEX('Прайс и заказ'!M:M,$J370)))</f>
      </c>
      <c r="J370" t="str">
        <f>IFERROR(MATCH(362,'Прайс и заказ'!$N$7:$N$435,0)+6,0)</f>
      </c>
    </row>
    <row r="371" spans="1:11" customHeight="1" ht="40">
      <c r="A371" s="13" t="str">
        <f>IF($J371=0,"",IFERROR(_xlfn.IMAGE(INDEX('Прайс и заказ'!$O:$O,$J371)),""))</f>
      </c>
      <c r="B371" s="61" t="str">
        <f>IF($J371=0,"",IF(INDEX('Прайс и заказ'!B:B,$J371)="","",INDEX('Прайс и заказ'!B:B,$J371)))</f>
      </c>
      <c r="C371" s="64" t="str">
        <f>IF($J371=0,"",IF(INDEX('Прайс и заказ'!C:C,$J371)="","",INDEX('Прайс и заказ'!C:C,$J371)))</f>
      </c>
      <c r="D371" s="64" t="str">
        <f>IF($J371=0,"",IF(INDEX('Прайс и заказ'!D:D,$J371)="","",INDEX('Прайс и заказ'!D:D,$J371)))</f>
      </c>
      <c r="E371" s="61" t="str">
        <f>IF($J371=0,"",IF(INDEX('Прайс и заказ'!F:F,$J371)="","",INDEX('Прайс и заказ'!F:F,$J371)))</f>
      </c>
      <c r="F371" s="62" t="str">
        <f>IF($J371=0,"",IF(INDEX('Прайс и заказ'!I:I,$J371)="","",INDEX('Прайс и заказ'!I:I,$J371)))</f>
      </c>
      <c r="G371" s="63" t="str">
        <f>IF($J371=0,"",IF(INDEX('Прайс и заказ'!K:K,$J371)="","",INDEX('Прайс и заказ'!K:K,$J371)))</f>
      </c>
      <c r="H371" s="62" t="str">
        <f>IF($J371=0,"",IF(INDEX('Прайс и заказ'!L:L,$J371)="","",INDEX('Прайс и заказ'!L:L,$J371)))</f>
      </c>
      <c r="I371" s="13" t="str">
        <f>IF($J371=0,"",IF(INDEX('Прайс и заказ'!M:M,$J371)="","",INDEX('Прайс и заказ'!M:M,$J371)))</f>
      </c>
      <c r="J371" t="str">
        <f>IFERROR(MATCH(363,'Прайс и заказ'!$N$7:$N$435,0)+6,0)</f>
      </c>
    </row>
    <row r="372" spans="1:11" customHeight="1" ht="40">
      <c r="A372" s="13" t="str">
        <f>IF($J372=0,"",IFERROR(_xlfn.IMAGE(INDEX('Прайс и заказ'!$O:$O,$J372)),""))</f>
      </c>
      <c r="B372" s="61" t="str">
        <f>IF($J372=0,"",IF(INDEX('Прайс и заказ'!B:B,$J372)="","",INDEX('Прайс и заказ'!B:B,$J372)))</f>
      </c>
      <c r="C372" s="64" t="str">
        <f>IF($J372=0,"",IF(INDEX('Прайс и заказ'!C:C,$J372)="","",INDEX('Прайс и заказ'!C:C,$J372)))</f>
      </c>
      <c r="D372" s="64" t="str">
        <f>IF($J372=0,"",IF(INDEX('Прайс и заказ'!D:D,$J372)="","",INDEX('Прайс и заказ'!D:D,$J372)))</f>
      </c>
      <c r="E372" s="61" t="str">
        <f>IF($J372=0,"",IF(INDEX('Прайс и заказ'!F:F,$J372)="","",INDEX('Прайс и заказ'!F:F,$J372)))</f>
      </c>
      <c r="F372" s="62" t="str">
        <f>IF($J372=0,"",IF(INDEX('Прайс и заказ'!I:I,$J372)="","",INDEX('Прайс и заказ'!I:I,$J372)))</f>
      </c>
      <c r="G372" s="63" t="str">
        <f>IF($J372=0,"",IF(INDEX('Прайс и заказ'!K:K,$J372)="","",INDEX('Прайс и заказ'!K:K,$J372)))</f>
      </c>
      <c r="H372" s="62" t="str">
        <f>IF($J372=0,"",IF(INDEX('Прайс и заказ'!L:L,$J372)="","",INDEX('Прайс и заказ'!L:L,$J372)))</f>
      </c>
      <c r="I372" s="13" t="str">
        <f>IF($J372=0,"",IF(INDEX('Прайс и заказ'!M:M,$J372)="","",INDEX('Прайс и заказ'!M:M,$J372)))</f>
      </c>
      <c r="J372" t="str">
        <f>IFERROR(MATCH(364,'Прайс и заказ'!$N$7:$N$435,0)+6,0)</f>
      </c>
    </row>
    <row r="373" spans="1:11" customHeight="1" ht="40">
      <c r="A373" s="13" t="str">
        <f>IF($J373=0,"",IFERROR(_xlfn.IMAGE(INDEX('Прайс и заказ'!$O:$O,$J373)),""))</f>
      </c>
      <c r="B373" s="61" t="str">
        <f>IF($J373=0,"",IF(INDEX('Прайс и заказ'!B:B,$J373)="","",INDEX('Прайс и заказ'!B:B,$J373)))</f>
      </c>
      <c r="C373" s="64" t="str">
        <f>IF($J373=0,"",IF(INDEX('Прайс и заказ'!C:C,$J373)="","",INDEX('Прайс и заказ'!C:C,$J373)))</f>
      </c>
      <c r="D373" s="64" t="str">
        <f>IF($J373=0,"",IF(INDEX('Прайс и заказ'!D:D,$J373)="","",INDEX('Прайс и заказ'!D:D,$J373)))</f>
      </c>
      <c r="E373" s="61" t="str">
        <f>IF($J373=0,"",IF(INDEX('Прайс и заказ'!F:F,$J373)="","",INDEX('Прайс и заказ'!F:F,$J373)))</f>
      </c>
      <c r="F373" s="62" t="str">
        <f>IF($J373=0,"",IF(INDEX('Прайс и заказ'!I:I,$J373)="","",INDEX('Прайс и заказ'!I:I,$J373)))</f>
      </c>
      <c r="G373" s="63" t="str">
        <f>IF($J373=0,"",IF(INDEX('Прайс и заказ'!K:K,$J373)="","",INDEX('Прайс и заказ'!K:K,$J373)))</f>
      </c>
      <c r="H373" s="62" t="str">
        <f>IF($J373=0,"",IF(INDEX('Прайс и заказ'!L:L,$J373)="","",INDEX('Прайс и заказ'!L:L,$J373)))</f>
      </c>
      <c r="I373" s="13" t="str">
        <f>IF($J373=0,"",IF(INDEX('Прайс и заказ'!M:M,$J373)="","",INDEX('Прайс и заказ'!M:M,$J373)))</f>
      </c>
      <c r="J373" t="str">
        <f>IFERROR(MATCH(365,'Прайс и заказ'!$N$7:$N$435,0)+6,0)</f>
      </c>
    </row>
    <row r="374" spans="1:11" customHeight="1" ht="40">
      <c r="A374" s="13" t="str">
        <f>IF($J374=0,"",IFERROR(_xlfn.IMAGE(INDEX('Прайс и заказ'!$O:$O,$J374)),""))</f>
      </c>
      <c r="B374" s="61" t="str">
        <f>IF($J374=0,"",IF(INDEX('Прайс и заказ'!B:B,$J374)="","",INDEX('Прайс и заказ'!B:B,$J374)))</f>
      </c>
      <c r="C374" s="64" t="str">
        <f>IF($J374=0,"",IF(INDEX('Прайс и заказ'!C:C,$J374)="","",INDEX('Прайс и заказ'!C:C,$J374)))</f>
      </c>
      <c r="D374" s="64" t="str">
        <f>IF($J374=0,"",IF(INDEX('Прайс и заказ'!D:D,$J374)="","",INDEX('Прайс и заказ'!D:D,$J374)))</f>
      </c>
      <c r="E374" s="61" t="str">
        <f>IF($J374=0,"",IF(INDEX('Прайс и заказ'!F:F,$J374)="","",INDEX('Прайс и заказ'!F:F,$J374)))</f>
      </c>
      <c r="F374" s="62" t="str">
        <f>IF($J374=0,"",IF(INDEX('Прайс и заказ'!I:I,$J374)="","",INDEX('Прайс и заказ'!I:I,$J374)))</f>
      </c>
      <c r="G374" s="63" t="str">
        <f>IF($J374=0,"",IF(INDEX('Прайс и заказ'!K:K,$J374)="","",INDEX('Прайс и заказ'!K:K,$J374)))</f>
      </c>
      <c r="H374" s="62" t="str">
        <f>IF($J374=0,"",IF(INDEX('Прайс и заказ'!L:L,$J374)="","",INDEX('Прайс и заказ'!L:L,$J374)))</f>
      </c>
      <c r="I374" s="13" t="str">
        <f>IF($J374=0,"",IF(INDEX('Прайс и заказ'!M:M,$J374)="","",INDEX('Прайс и заказ'!M:M,$J374)))</f>
      </c>
      <c r="J374" t="str">
        <f>IFERROR(MATCH(366,'Прайс и заказ'!$N$7:$N$435,0)+6,0)</f>
      </c>
    </row>
    <row r="375" spans="1:11" customHeight="1" ht="40">
      <c r="A375" s="13" t="str">
        <f>IF($J375=0,"",IFERROR(_xlfn.IMAGE(INDEX('Прайс и заказ'!$O:$O,$J375)),""))</f>
      </c>
      <c r="B375" s="61" t="str">
        <f>IF($J375=0,"",IF(INDEX('Прайс и заказ'!B:B,$J375)="","",INDEX('Прайс и заказ'!B:B,$J375)))</f>
      </c>
      <c r="C375" s="64" t="str">
        <f>IF($J375=0,"",IF(INDEX('Прайс и заказ'!C:C,$J375)="","",INDEX('Прайс и заказ'!C:C,$J375)))</f>
      </c>
      <c r="D375" s="64" t="str">
        <f>IF($J375=0,"",IF(INDEX('Прайс и заказ'!D:D,$J375)="","",INDEX('Прайс и заказ'!D:D,$J375)))</f>
      </c>
      <c r="E375" s="61" t="str">
        <f>IF($J375=0,"",IF(INDEX('Прайс и заказ'!F:F,$J375)="","",INDEX('Прайс и заказ'!F:F,$J375)))</f>
      </c>
      <c r="F375" s="62" t="str">
        <f>IF($J375=0,"",IF(INDEX('Прайс и заказ'!I:I,$J375)="","",INDEX('Прайс и заказ'!I:I,$J375)))</f>
      </c>
      <c r="G375" s="63" t="str">
        <f>IF($J375=0,"",IF(INDEX('Прайс и заказ'!K:K,$J375)="","",INDEX('Прайс и заказ'!K:K,$J375)))</f>
      </c>
      <c r="H375" s="62" t="str">
        <f>IF($J375=0,"",IF(INDEX('Прайс и заказ'!L:L,$J375)="","",INDEX('Прайс и заказ'!L:L,$J375)))</f>
      </c>
      <c r="I375" s="13" t="str">
        <f>IF($J375=0,"",IF(INDEX('Прайс и заказ'!M:M,$J375)="","",INDEX('Прайс и заказ'!M:M,$J375)))</f>
      </c>
      <c r="J375" t="str">
        <f>IFERROR(MATCH(367,'Прайс и заказ'!$N$7:$N$435,0)+6,0)</f>
      </c>
    </row>
    <row r="376" spans="1:11" customHeight="1" ht="40">
      <c r="A376" s="13" t="str">
        <f>IF($J376=0,"",IFERROR(_xlfn.IMAGE(INDEX('Прайс и заказ'!$O:$O,$J376)),""))</f>
      </c>
      <c r="B376" s="61" t="str">
        <f>IF($J376=0,"",IF(INDEX('Прайс и заказ'!B:B,$J376)="","",INDEX('Прайс и заказ'!B:B,$J376)))</f>
      </c>
      <c r="C376" s="64" t="str">
        <f>IF($J376=0,"",IF(INDEX('Прайс и заказ'!C:C,$J376)="","",INDEX('Прайс и заказ'!C:C,$J376)))</f>
      </c>
      <c r="D376" s="64" t="str">
        <f>IF($J376=0,"",IF(INDEX('Прайс и заказ'!D:D,$J376)="","",INDEX('Прайс и заказ'!D:D,$J376)))</f>
      </c>
      <c r="E376" s="61" t="str">
        <f>IF($J376=0,"",IF(INDEX('Прайс и заказ'!F:F,$J376)="","",INDEX('Прайс и заказ'!F:F,$J376)))</f>
      </c>
      <c r="F376" s="62" t="str">
        <f>IF($J376=0,"",IF(INDEX('Прайс и заказ'!I:I,$J376)="","",INDEX('Прайс и заказ'!I:I,$J376)))</f>
      </c>
      <c r="G376" s="63" t="str">
        <f>IF($J376=0,"",IF(INDEX('Прайс и заказ'!K:K,$J376)="","",INDEX('Прайс и заказ'!K:K,$J376)))</f>
      </c>
      <c r="H376" s="62" t="str">
        <f>IF($J376=0,"",IF(INDEX('Прайс и заказ'!L:L,$J376)="","",INDEX('Прайс и заказ'!L:L,$J376)))</f>
      </c>
      <c r="I376" s="13" t="str">
        <f>IF($J376=0,"",IF(INDEX('Прайс и заказ'!M:M,$J376)="","",INDEX('Прайс и заказ'!M:M,$J376)))</f>
      </c>
      <c r="J376" t="str">
        <f>IFERROR(MATCH(368,'Прайс и заказ'!$N$7:$N$435,0)+6,0)</f>
      </c>
    </row>
    <row r="377" spans="1:11" customHeight="1" ht="40">
      <c r="A377" s="13" t="str">
        <f>IF($J377=0,"",IFERROR(_xlfn.IMAGE(INDEX('Прайс и заказ'!$O:$O,$J377)),""))</f>
      </c>
      <c r="B377" s="61" t="str">
        <f>IF($J377=0,"",IF(INDEX('Прайс и заказ'!B:B,$J377)="","",INDEX('Прайс и заказ'!B:B,$J377)))</f>
      </c>
      <c r="C377" s="64" t="str">
        <f>IF($J377=0,"",IF(INDEX('Прайс и заказ'!C:C,$J377)="","",INDEX('Прайс и заказ'!C:C,$J377)))</f>
      </c>
      <c r="D377" s="64" t="str">
        <f>IF($J377=0,"",IF(INDEX('Прайс и заказ'!D:D,$J377)="","",INDEX('Прайс и заказ'!D:D,$J377)))</f>
      </c>
      <c r="E377" s="61" t="str">
        <f>IF($J377=0,"",IF(INDEX('Прайс и заказ'!F:F,$J377)="","",INDEX('Прайс и заказ'!F:F,$J377)))</f>
      </c>
      <c r="F377" s="62" t="str">
        <f>IF($J377=0,"",IF(INDEX('Прайс и заказ'!I:I,$J377)="","",INDEX('Прайс и заказ'!I:I,$J377)))</f>
      </c>
      <c r="G377" s="63" t="str">
        <f>IF($J377=0,"",IF(INDEX('Прайс и заказ'!K:K,$J377)="","",INDEX('Прайс и заказ'!K:K,$J377)))</f>
      </c>
      <c r="H377" s="62" t="str">
        <f>IF($J377=0,"",IF(INDEX('Прайс и заказ'!L:L,$J377)="","",INDEX('Прайс и заказ'!L:L,$J377)))</f>
      </c>
      <c r="I377" s="13" t="str">
        <f>IF($J377=0,"",IF(INDEX('Прайс и заказ'!M:M,$J377)="","",INDEX('Прайс и заказ'!M:M,$J377)))</f>
      </c>
      <c r="J377" t="str">
        <f>IFERROR(MATCH(369,'Прайс и заказ'!$N$7:$N$435,0)+6,0)</f>
      </c>
    </row>
    <row r="378" spans="1:11" customHeight="1" ht="40">
      <c r="A378" s="13" t="str">
        <f>IF($J378=0,"",IFERROR(_xlfn.IMAGE(INDEX('Прайс и заказ'!$O:$O,$J378)),""))</f>
      </c>
      <c r="B378" s="61" t="str">
        <f>IF($J378=0,"",IF(INDEX('Прайс и заказ'!B:B,$J378)="","",INDEX('Прайс и заказ'!B:B,$J378)))</f>
      </c>
      <c r="C378" s="64" t="str">
        <f>IF($J378=0,"",IF(INDEX('Прайс и заказ'!C:C,$J378)="","",INDEX('Прайс и заказ'!C:C,$J378)))</f>
      </c>
      <c r="D378" s="64" t="str">
        <f>IF($J378=0,"",IF(INDEX('Прайс и заказ'!D:D,$J378)="","",INDEX('Прайс и заказ'!D:D,$J378)))</f>
      </c>
      <c r="E378" s="61" t="str">
        <f>IF($J378=0,"",IF(INDEX('Прайс и заказ'!F:F,$J378)="","",INDEX('Прайс и заказ'!F:F,$J378)))</f>
      </c>
      <c r="F378" s="62" t="str">
        <f>IF($J378=0,"",IF(INDEX('Прайс и заказ'!I:I,$J378)="","",INDEX('Прайс и заказ'!I:I,$J378)))</f>
      </c>
      <c r="G378" s="63" t="str">
        <f>IF($J378=0,"",IF(INDEX('Прайс и заказ'!K:K,$J378)="","",INDEX('Прайс и заказ'!K:K,$J378)))</f>
      </c>
      <c r="H378" s="62" t="str">
        <f>IF($J378=0,"",IF(INDEX('Прайс и заказ'!L:L,$J378)="","",INDEX('Прайс и заказ'!L:L,$J378)))</f>
      </c>
      <c r="I378" s="13" t="str">
        <f>IF($J378=0,"",IF(INDEX('Прайс и заказ'!M:M,$J378)="","",INDEX('Прайс и заказ'!M:M,$J378)))</f>
      </c>
      <c r="J378" t="str">
        <f>IFERROR(MATCH(370,'Прайс и заказ'!$N$7:$N$435,0)+6,0)</f>
      </c>
    </row>
    <row r="379" spans="1:11" customHeight="1" ht="40">
      <c r="A379" s="13" t="str">
        <f>IF($J379=0,"",IFERROR(_xlfn.IMAGE(INDEX('Прайс и заказ'!$O:$O,$J379)),""))</f>
      </c>
      <c r="B379" s="61" t="str">
        <f>IF($J379=0,"",IF(INDEX('Прайс и заказ'!B:B,$J379)="","",INDEX('Прайс и заказ'!B:B,$J379)))</f>
      </c>
      <c r="C379" s="64" t="str">
        <f>IF($J379=0,"",IF(INDEX('Прайс и заказ'!C:C,$J379)="","",INDEX('Прайс и заказ'!C:C,$J379)))</f>
      </c>
      <c r="D379" s="64" t="str">
        <f>IF($J379=0,"",IF(INDEX('Прайс и заказ'!D:D,$J379)="","",INDEX('Прайс и заказ'!D:D,$J379)))</f>
      </c>
      <c r="E379" s="61" t="str">
        <f>IF($J379=0,"",IF(INDEX('Прайс и заказ'!F:F,$J379)="","",INDEX('Прайс и заказ'!F:F,$J379)))</f>
      </c>
      <c r="F379" s="62" t="str">
        <f>IF($J379=0,"",IF(INDEX('Прайс и заказ'!I:I,$J379)="","",INDEX('Прайс и заказ'!I:I,$J379)))</f>
      </c>
      <c r="G379" s="63" t="str">
        <f>IF($J379=0,"",IF(INDEX('Прайс и заказ'!K:K,$J379)="","",INDEX('Прайс и заказ'!K:K,$J379)))</f>
      </c>
      <c r="H379" s="62" t="str">
        <f>IF($J379=0,"",IF(INDEX('Прайс и заказ'!L:L,$J379)="","",INDEX('Прайс и заказ'!L:L,$J379)))</f>
      </c>
      <c r="I379" s="13" t="str">
        <f>IF($J379=0,"",IF(INDEX('Прайс и заказ'!M:M,$J379)="","",INDEX('Прайс и заказ'!M:M,$J379)))</f>
      </c>
      <c r="J379" t="str">
        <f>IFERROR(MATCH(371,'Прайс и заказ'!$N$7:$N$435,0)+6,0)</f>
      </c>
    </row>
    <row r="380" spans="1:11" customHeight="1" ht="40">
      <c r="A380" s="13" t="str">
        <f>IF($J380=0,"",IFERROR(_xlfn.IMAGE(INDEX('Прайс и заказ'!$O:$O,$J380)),""))</f>
      </c>
      <c r="B380" s="61" t="str">
        <f>IF($J380=0,"",IF(INDEX('Прайс и заказ'!B:B,$J380)="","",INDEX('Прайс и заказ'!B:B,$J380)))</f>
      </c>
      <c r="C380" s="64" t="str">
        <f>IF($J380=0,"",IF(INDEX('Прайс и заказ'!C:C,$J380)="","",INDEX('Прайс и заказ'!C:C,$J380)))</f>
      </c>
      <c r="D380" s="64" t="str">
        <f>IF($J380=0,"",IF(INDEX('Прайс и заказ'!D:D,$J380)="","",INDEX('Прайс и заказ'!D:D,$J380)))</f>
      </c>
      <c r="E380" s="61" t="str">
        <f>IF($J380=0,"",IF(INDEX('Прайс и заказ'!F:F,$J380)="","",INDEX('Прайс и заказ'!F:F,$J380)))</f>
      </c>
      <c r="F380" s="62" t="str">
        <f>IF($J380=0,"",IF(INDEX('Прайс и заказ'!I:I,$J380)="","",INDEX('Прайс и заказ'!I:I,$J380)))</f>
      </c>
      <c r="G380" s="63" t="str">
        <f>IF($J380=0,"",IF(INDEX('Прайс и заказ'!K:K,$J380)="","",INDEX('Прайс и заказ'!K:K,$J380)))</f>
      </c>
      <c r="H380" s="62" t="str">
        <f>IF($J380=0,"",IF(INDEX('Прайс и заказ'!L:L,$J380)="","",INDEX('Прайс и заказ'!L:L,$J380)))</f>
      </c>
      <c r="I380" s="13" t="str">
        <f>IF($J380=0,"",IF(INDEX('Прайс и заказ'!M:M,$J380)="","",INDEX('Прайс и заказ'!M:M,$J380)))</f>
      </c>
      <c r="J380" t="str">
        <f>IFERROR(MATCH(372,'Прайс и заказ'!$N$7:$N$435,0)+6,0)</f>
      </c>
    </row>
    <row r="381" spans="1:11" customHeight="1" ht="40">
      <c r="A381" s="13" t="str">
        <f>IF($J381=0,"",IFERROR(_xlfn.IMAGE(INDEX('Прайс и заказ'!$O:$O,$J381)),""))</f>
      </c>
      <c r="B381" s="61" t="str">
        <f>IF($J381=0,"",IF(INDEX('Прайс и заказ'!B:B,$J381)="","",INDEX('Прайс и заказ'!B:B,$J381)))</f>
      </c>
      <c r="C381" s="64" t="str">
        <f>IF($J381=0,"",IF(INDEX('Прайс и заказ'!C:C,$J381)="","",INDEX('Прайс и заказ'!C:C,$J381)))</f>
      </c>
      <c r="D381" s="64" t="str">
        <f>IF($J381=0,"",IF(INDEX('Прайс и заказ'!D:D,$J381)="","",INDEX('Прайс и заказ'!D:D,$J381)))</f>
      </c>
      <c r="E381" s="61" t="str">
        <f>IF($J381=0,"",IF(INDEX('Прайс и заказ'!F:F,$J381)="","",INDEX('Прайс и заказ'!F:F,$J381)))</f>
      </c>
      <c r="F381" s="62" t="str">
        <f>IF($J381=0,"",IF(INDEX('Прайс и заказ'!I:I,$J381)="","",INDEX('Прайс и заказ'!I:I,$J381)))</f>
      </c>
      <c r="G381" s="63" t="str">
        <f>IF($J381=0,"",IF(INDEX('Прайс и заказ'!K:K,$J381)="","",INDEX('Прайс и заказ'!K:K,$J381)))</f>
      </c>
      <c r="H381" s="62" t="str">
        <f>IF($J381=0,"",IF(INDEX('Прайс и заказ'!L:L,$J381)="","",INDEX('Прайс и заказ'!L:L,$J381)))</f>
      </c>
      <c r="I381" s="13" t="str">
        <f>IF($J381=0,"",IF(INDEX('Прайс и заказ'!M:M,$J381)="","",INDEX('Прайс и заказ'!M:M,$J381)))</f>
      </c>
      <c r="J381" t="str">
        <f>IFERROR(MATCH(373,'Прайс и заказ'!$N$7:$N$435,0)+6,0)</f>
      </c>
    </row>
    <row r="382" spans="1:11" customHeight="1" ht="40">
      <c r="A382" s="13" t="str">
        <f>IF($J382=0,"",IFERROR(_xlfn.IMAGE(INDEX('Прайс и заказ'!$O:$O,$J382)),""))</f>
      </c>
      <c r="B382" s="61" t="str">
        <f>IF($J382=0,"",IF(INDEX('Прайс и заказ'!B:B,$J382)="","",INDEX('Прайс и заказ'!B:B,$J382)))</f>
      </c>
      <c r="C382" s="64" t="str">
        <f>IF($J382=0,"",IF(INDEX('Прайс и заказ'!C:C,$J382)="","",INDEX('Прайс и заказ'!C:C,$J382)))</f>
      </c>
      <c r="D382" s="64" t="str">
        <f>IF($J382=0,"",IF(INDEX('Прайс и заказ'!D:D,$J382)="","",INDEX('Прайс и заказ'!D:D,$J382)))</f>
      </c>
      <c r="E382" s="61" t="str">
        <f>IF($J382=0,"",IF(INDEX('Прайс и заказ'!F:F,$J382)="","",INDEX('Прайс и заказ'!F:F,$J382)))</f>
      </c>
      <c r="F382" s="62" t="str">
        <f>IF($J382=0,"",IF(INDEX('Прайс и заказ'!I:I,$J382)="","",INDEX('Прайс и заказ'!I:I,$J382)))</f>
      </c>
      <c r="G382" s="63" t="str">
        <f>IF($J382=0,"",IF(INDEX('Прайс и заказ'!K:K,$J382)="","",INDEX('Прайс и заказ'!K:K,$J382)))</f>
      </c>
      <c r="H382" s="62" t="str">
        <f>IF($J382=0,"",IF(INDEX('Прайс и заказ'!L:L,$J382)="","",INDEX('Прайс и заказ'!L:L,$J382)))</f>
      </c>
      <c r="I382" s="13" t="str">
        <f>IF($J382=0,"",IF(INDEX('Прайс и заказ'!M:M,$J382)="","",INDEX('Прайс и заказ'!M:M,$J382)))</f>
      </c>
      <c r="J382" t="str">
        <f>IFERROR(MATCH(374,'Прайс и заказ'!$N$7:$N$435,0)+6,0)</f>
      </c>
    </row>
    <row r="383" spans="1:11" customHeight="1" ht="40">
      <c r="A383" s="13" t="str">
        <f>IF($J383=0,"",IFERROR(_xlfn.IMAGE(INDEX('Прайс и заказ'!$O:$O,$J383)),""))</f>
      </c>
      <c r="B383" s="61" t="str">
        <f>IF($J383=0,"",IF(INDEX('Прайс и заказ'!B:B,$J383)="","",INDEX('Прайс и заказ'!B:B,$J383)))</f>
      </c>
      <c r="C383" s="64" t="str">
        <f>IF($J383=0,"",IF(INDEX('Прайс и заказ'!C:C,$J383)="","",INDEX('Прайс и заказ'!C:C,$J383)))</f>
      </c>
      <c r="D383" s="64" t="str">
        <f>IF($J383=0,"",IF(INDEX('Прайс и заказ'!D:D,$J383)="","",INDEX('Прайс и заказ'!D:D,$J383)))</f>
      </c>
      <c r="E383" s="61" t="str">
        <f>IF($J383=0,"",IF(INDEX('Прайс и заказ'!F:F,$J383)="","",INDEX('Прайс и заказ'!F:F,$J383)))</f>
      </c>
      <c r="F383" s="62" t="str">
        <f>IF($J383=0,"",IF(INDEX('Прайс и заказ'!I:I,$J383)="","",INDEX('Прайс и заказ'!I:I,$J383)))</f>
      </c>
      <c r="G383" s="63" t="str">
        <f>IF($J383=0,"",IF(INDEX('Прайс и заказ'!K:K,$J383)="","",INDEX('Прайс и заказ'!K:K,$J383)))</f>
      </c>
      <c r="H383" s="62" t="str">
        <f>IF($J383=0,"",IF(INDEX('Прайс и заказ'!L:L,$J383)="","",INDEX('Прайс и заказ'!L:L,$J383)))</f>
      </c>
      <c r="I383" s="13" t="str">
        <f>IF($J383=0,"",IF(INDEX('Прайс и заказ'!M:M,$J383)="","",INDEX('Прайс и заказ'!M:M,$J383)))</f>
      </c>
      <c r="J383" t="str">
        <f>IFERROR(MATCH(375,'Прайс и заказ'!$N$7:$N$435,0)+6,0)</f>
      </c>
    </row>
    <row r="384" spans="1:11" customHeight="1" ht="40">
      <c r="A384" s="13" t="str">
        <f>IF($J384=0,"",IFERROR(_xlfn.IMAGE(INDEX('Прайс и заказ'!$O:$O,$J384)),""))</f>
      </c>
      <c r="B384" s="61" t="str">
        <f>IF($J384=0,"",IF(INDEX('Прайс и заказ'!B:B,$J384)="","",INDEX('Прайс и заказ'!B:B,$J384)))</f>
      </c>
      <c r="C384" s="64" t="str">
        <f>IF($J384=0,"",IF(INDEX('Прайс и заказ'!C:C,$J384)="","",INDEX('Прайс и заказ'!C:C,$J384)))</f>
      </c>
      <c r="D384" s="64" t="str">
        <f>IF($J384=0,"",IF(INDEX('Прайс и заказ'!D:D,$J384)="","",INDEX('Прайс и заказ'!D:D,$J384)))</f>
      </c>
      <c r="E384" s="61" t="str">
        <f>IF($J384=0,"",IF(INDEX('Прайс и заказ'!F:F,$J384)="","",INDEX('Прайс и заказ'!F:F,$J384)))</f>
      </c>
      <c r="F384" s="62" t="str">
        <f>IF($J384=0,"",IF(INDEX('Прайс и заказ'!I:I,$J384)="","",INDEX('Прайс и заказ'!I:I,$J384)))</f>
      </c>
      <c r="G384" s="63" t="str">
        <f>IF($J384=0,"",IF(INDEX('Прайс и заказ'!K:K,$J384)="","",INDEX('Прайс и заказ'!K:K,$J384)))</f>
      </c>
      <c r="H384" s="62" t="str">
        <f>IF($J384=0,"",IF(INDEX('Прайс и заказ'!L:L,$J384)="","",INDEX('Прайс и заказ'!L:L,$J384)))</f>
      </c>
      <c r="I384" s="13" t="str">
        <f>IF($J384=0,"",IF(INDEX('Прайс и заказ'!M:M,$J384)="","",INDEX('Прайс и заказ'!M:M,$J384)))</f>
      </c>
      <c r="J384" t="str">
        <f>IFERROR(MATCH(376,'Прайс и заказ'!$N$7:$N$435,0)+6,0)</f>
      </c>
    </row>
    <row r="385" spans="1:11" customHeight="1" ht="40">
      <c r="A385" s="13" t="str">
        <f>IF($J385=0,"",IFERROR(_xlfn.IMAGE(INDEX('Прайс и заказ'!$O:$O,$J385)),""))</f>
      </c>
      <c r="B385" s="61" t="str">
        <f>IF($J385=0,"",IF(INDEX('Прайс и заказ'!B:B,$J385)="","",INDEX('Прайс и заказ'!B:B,$J385)))</f>
      </c>
      <c r="C385" s="64" t="str">
        <f>IF($J385=0,"",IF(INDEX('Прайс и заказ'!C:C,$J385)="","",INDEX('Прайс и заказ'!C:C,$J385)))</f>
      </c>
      <c r="D385" s="64" t="str">
        <f>IF($J385=0,"",IF(INDEX('Прайс и заказ'!D:D,$J385)="","",INDEX('Прайс и заказ'!D:D,$J385)))</f>
      </c>
      <c r="E385" s="61" t="str">
        <f>IF($J385=0,"",IF(INDEX('Прайс и заказ'!F:F,$J385)="","",INDEX('Прайс и заказ'!F:F,$J385)))</f>
      </c>
      <c r="F385" s="62" t="str">
        <f>IF($J385=0,"",IF(INDEX('Прайс и заказ'!I:I,$J385)="","",INDEX('Прайс и заказ'!I:I,$J385)))</f>
      </c>
      <c r="G385" s="63" t="str">
        <f>IF($J385=0,"",IF(INDEX('Прайс и заказ'!K:K,$J385)="","",INDEX('Прайс и заказ'!K:K,$J385)))</f>
      </c>
      <c r="H385" s="62" t="str">
        <f>IF($J385=0,"",IF(INDEX('Прайс и заказ'!L:L,$J385)="","",INDEX('Прайс и заказ'!L:L,$J385)))</f>
      </c>
      <c r="I385" s="13" t="str">
        <f>IF($J385=0,"",IF(INDEX('Прайс и заказ'!M:M,$J385)="","",INDEX('Прайс и заказ'!M:M,$J385)))</f>
      </c>
      <c r="J385" t="str">
        <f>IFERROR(MATCH(377,'Прайс и заказ'!$N$7:$N$435,0)+6,0)</f>
      </c>
    </row>
    <row r="386" spans="1:11" customHeight="1" ht="40">
      <c r="A386" s="13" t="str">
        <f>IF($J386=0,"",IFERROR(_xlfn.IMAGE(INDEX('Прайс и заказ'!$O:$O,$J386)),""))</f>
      </c>
      <c r="B386" s="61" t="str">
        <f>IF($J386=0,"",IF(INDEX('Прайс и заказ'!B:B,$J386)="","",INDEX('Прайс и заказ'!B:B,$J386)))</f>
      </c>
      <c r="C386" s="64" t="str">
        <f>IF($J386=0,"",IF(INDEX('Прайс и заказ'!C:C,$J386)="","",INDEX('Прайс и заказ'!C:C,$J386)))</f>
      </c>
      <c r="D386" s="64" t="str">
        <f>IF($J386=0,"",IF(INDEX('Прайс и заказ'!D:D,$J386)="","",INDEX('Прайс и заказ'!D:D,$J386)))</f>
      </c>
      <c r="E386" s="61" t="str">
        <f>IF($J386=0,"",IF(INDEX('Прайс и заказ'!F:F,$J386)="","",INDEX('Прайс и заказ'!F:F,$J386)))</f>
      </c>
      <c r="F386" s="62" t="str">
        <f>IF($J386=0,"",IF(INDEX('Прайс и заказ'!I:I,$J386)="","",INDEX('Прайс и заказ'!I:I,$J386)))</f>
      </c>
      <c r="G386" s="63" t="str">
        <f>IF($J386=0,"",IF(INDEX('Прайс и заказ'!K:K,$J386)="","",INDEX('Прайс и заказ'!K:K,$J386)))</f>
      </c>
      <c r="H386" s="62" t="str">
        <f>IF($J386=0,"",IF(INDEX('Прайс и заказ'!L:L,$J386)="","",INDEX('Прайс и заказ'!L:L,$J386)))</f>
      </c>
      <c r="I386" s="13" t="str">
        <f>IF($J386=0,"",IF(INDEX('Прайс и заказ'!M:M,$J386)="","",INDEX('Прайс и заказ'!M:M,$J386)))</f>
      </c>
      <c r="J386" t="str">
        <f>IFERROR(MATCH(378,'Прайс и заказ'!$N$7:$N$435,0)+6,0)</f>
      </c>
    </row>
    <row r="387" spans="1:11" customHeight="1" ht="40">
      <c r="A387" s="13" t="str">
        <f>IF($J387=0,"",IFERROR(_xlfn.IMAGE(INDEX('Прайс и заказ'!$O:$O,$J387)),""))</f>
      </c>
      <c r="B387" s="61" t="str">
        <f>IF($J387=0,"",IF(INDEX('Прайс и заказ'!B:B,$J387)="","",INDEX('Прайс и заказ'!B:B,$J387)))</f>
      </c>
      <c r="C387" s="64" t="str">
        <f>IF($J387=0,"",IF(INDEX('Прайс и заказ'!C:C,$J387)="","",INDEX('Прайс и заказ'!C:C,$J387)))</f>
      </c>
      <c r="D387" s="64" t="str">
        <f>IF($J387=0,"",IF(INDEX('Прайс и заказ'!D:D,$J387)="","",INDEX('Прайс и заказ'!D:D,$J387)))</f>
      </c>
      <c r="E387" s="61" t="str">
        <f>IF($J387=0,"",IF(INDEX('Прайс и заказ'!F:F,$J387)="","",INDEX('Прайс и заказ'!F:F,$J387)))</f>
      </c>
      <c r="F387" s="62" t="str">
        <f>IF($J387=0,"",IF(INDEX('Прайс и заказ'!I:I,$J387)="","",INDEX('Прайс и заказ'!I:I,$J387)))</f>
      </c>
      <c r="G387" s="63" t="str">
        <f>IF($J387=0,"",IF(INDEX('Прайс и заказ'!K:K,$J387)="","",INDEX('Прайс и заказ'!K:K,$J387)))</f>
      </c>
      <c r="H387" s="62" t="str">
        <f>IF($J387=0,"",IF(INDEX('Прайс и заказ'!L:L,$J387)="","",INDEX('Прайс и заказ'!L:L,$J387)))</f>
      </c>
      <c r="I387" s="13" t="str">
        <f>IF($J387=0,"",IF(INDEX('Прайс и заказ'!M:M,$J387)="","",INDEX('Прайс и заказ'!M:M,$J387)))</f>
      </c>
      <c r="J387" t="str">
        <f>IFERROR(MATCH(379,'Прайс и заказ'!$N$7:$N$435,0)+6,0)</f>
      </c>
    </row>
    <row r="388" spans="1:11" customHeight="1" ht="40">
      <c r="A388" s="13" t="str">
        <f>IF($J388=0,"",IFERROR(_xlfn.IMAGE(INDEX('Прайс и заказ'!$O:$O,$J388)),""))</f>
      </c>
      <c r="B388" s="61" t="str">
        <f>IF($J388=0,"",IF(INDEX('Прайс и заказ'!B:B,$J388)="","",INDEX('Прайс и заказ'!B:B,$J388)))</f>
      </c>
      <c r="C388" s="64" t="str">
        <f>IF($J388=0,"",IF(INDEX('Прайс и заказ'!C:C,$J388)="","",INDEX('Прайс и заказ'!C:C,$J388)))</f>
      </c>
      <c r="D388" s="64" t="str">
        <f>IF($J388=0,"",IF(INDEX('Прайс и заказ'!D:D,$J388)="","",INDEX('Прайс и заказ'!D:D,$J388)))</f>
      </c>
      <c r="E388" s="61" t="str">
        <f>IF($J388=0,"",IF(INDEX('Прайс и заказ'!F:F,$J388)="","",INDEX('Прайс и заказ'!F:F,$J388)))</f>
      </c>
      <c r="F388" s="62" t="str">
        <f>IF($J388=0,"",IF(INDEX('Прайс и заказ'!I:I,$J388)="","",INDEX('Прайс и заказ'!I:I,$J388)))</f>
      </c>
      <c r="G388" s="63" t="str">
        <f>IF($J388=0,"",IF(INDEX('Прайс и заказ'!K:K,$J388)="","",INDEX('Прайс и заказ'!K:K,$J388)))</f>
      </c>
      <c r="H388" s="62" t="str">
        <f>IF($J388=0,"",IF(INDEX('Прайс и заказ'!L:L,$J388)="","",INDEX('Прайс и заказ'!L:L,$J388)))</f>
      </c>
      <c r="I388" s="13" t="str">
        <f>IF($J388=0,"",IF(INDEX('Прайс и заказ'!M:M,$J388)="","",INDEX('Прайс и заказ'!M:M,$J388)))</f>
      </c>
      <c r="J388" t="str">
        <f>IFERROR(MATCH(380,'Прайс и заказ'!$N$7:$N$435,0)+6,0)</f>
      </c>
    </row>
    <row r="389" spans="1:11" customHeight="1" ht="40">
      <c r="A389" s="13" t="str">
        <f>IF($J389=0,"",IFERROR(_xlfn.IMAGE(INDEX('Прайс и заказ'!$O:$O,$J389)),""))</f>
      </c>
      <c r="B389" s="61" t="str">
        <f>IF($J389=0,"",IF(INDEX('Прайс и заказ'!B:B,$J389)="","",INDEX('Прайс и заказ'!B:B,$J389)))</f>
      </c>
      <c r="C389" s="64" t="str">
        <f>IF($J389=0,"",IF(INDEX('Прайс и заказ'!C:C,$J389)="","",INDEX('Прайс и заказ'!C:C,$J389)))</f>
      </c>
      <c r="D389" s="64" t="str">
        <f>IF($J389=0,"",IF(INDEX('Прайс и заказ'!D:D,$J389)="","",INDEX('Прайс и заказ'!D:D,$J389)))</f>
      </c>
      <c r="E389" s="61" t="str">
        <f>IF($J389=0,"",IF(INDEX('Прайс и заказ'!F:F,$J389)="","",INDEX('Прайс и заказ'!F:F,$J389)))</f>
      </c>
      <c r="F389" s="62" t="str">
        <f>IF($J389=0,"",IF(INDEX('Прайс и заказ'!I:I,$J389)="","",INDEX('Прайс и заказ'!I:I,$J389)))</f>
      </c>
      <c r="G389" s="63" t="str">
        <f>IF($J389=0,"",IF(INDEX('Прайс и заказ'!K:K,$J389)="","",INDEX('Прайс и заказ'!K:K,$J389)))</f>
      </c>
      <c r="H389" s="62" t="str">
        <f>IF($J389=0,"",IF(INDEX('Прайс и заказ'!L:L,$J389)="","",INDEX('Прайс и заказ'!L:L,$J389)))</f>
      </c>
      <c r="I389" s="13" t="str">
        <f>IF($J389=0,"",IF(INDEX('Прайс и заказ'!M:M,$J389)="","",INDEX('Прайс и заказ'!M:M,$J389)))</f>
      </c>
      <c r="J389" t="str">
        <f>IFERROR(MATCH(381,'Прайс и заказ'!$N$7:$N$435,0)+6,0)</f>
      </c>
    </row>
    <row r="390" spans="1:11" customHeight="1" ht="40">
      <c r="A390" s="13" t="str">
        <f>IF($J390=0,"",IFERROR(_xlfn.IMAGE(INDEX('Прайс и заказ'!$O:$O,$J390)),""))</f>
      </c>
      <c r="B390" s="61" t="str">
        <f>IF($J390=0,"",IF(INDEX('Прайс и заказ'!B:B,$J390)="","",INDEX('Прайс и заказ'!B:B,$J390)))</f>
      </c>
      <c r="C390" s="64" t="str">
        <f>IF($J390=0,"",IF(INDEX('Прайс и заказ'!C:C,$J390)="","",INDEX('Прайс и заказ'!C:C,$J390)))</f>
      </c>
      <c r="D390" s="64" t="str">
        <f>IF($J390=0,"",IF(INDEX('Прайс и заказ'!D:D,$J390)="","",INDEX('Прайс и заказ'!D:D,$J390)))</f>
      </c>
      <c r="E390" s="61" t="str">
        <f>IF($J390=0,"",IF(INDEX('Прайс и заказ'!F:F,$J390)="","",INDEX('Прайс и заказ'!F:F,$J390)))</f>
      </c>
      <c r="F390" s="62" t="str">
        <f>IF($J390=0,"",IF(INDEX('Прайс и заказ'!I:I,$J390)="","",INDEX('Прайс и заказ'!I:I,$J390)))</f>
      </c>
      <c r="G390" s="63" t="str">
        <f>IF($J390=0,"",IF(INDEX('Прайс и заказ'!K:K,$J390)="","",INDEX('Прайс и заказ'!K:K,$J390)))</f>
      </c>
      <c r="H390" s="62" t="str">
        <f>IF($J390=0,"",IF(INDEX('Прайс и заказ'!L:L,$J390)="","",INDEX('Прайс и заказ'!L:L,$J390)))</f>
      </c>
      <c r="I390" s="13" t="str">
        <f>IF($J390=0,"",IF(INDEX('Прайс и заказ'!M:M,$J390)="","",INDEX('Прайс и заказ'!M:M,$J390)))</f>
      </c>
      <c r="J390" t="str">
        <f>IFERROR(MATCH(382,'Прайс и заказ'!$N$7:$N$435,0)+6,0)</f>
      </c>
    </row>
    <row r="391" spans="1:11" customHeight="1" ht="40">
      <c r="A391" s="13" t="str">
        <f>IF($J391=0,"",IFERROR(_xlfn.IMAGE(INDEX('Прайс и заказ'!$O:$O,$J391)),""))</f>
      </c>
      <c r="B391" s="61" t="str">
        <f>IF($J391=0,"",IF(INDEX('Прайс и заказ'!B:B,$J391)="","",INDEX('Прайс и заказ'!B:B,$J391)))</f>
      </c>
      <c r="C391" s="64" t="str">
        <f>IF($J391=0,"",IF(INDEX('Прайс и заказ'!C:C,$J391)="","",INDEX('Прайс и заказ'!C:C,$J391)))</f>
      </c>
      <c r="D391" s="64" t="str">
        <f>IF($J391=0,"",IF(INDEX('Прайс и заказ'!D:D,$J391)="","",INDEX('Прайс и заказ'!D:D,$J391)))</f>
      </c>
      <c r="E391" s="61" t="str">
        <f>IF($J391=0,"",IF(INDEX('Прайс и заказ'!F:F,$J391)="","",INDEX('Прайс и заказ'!F:F,$J391)))</f>
      </c>
      <c r="F391" s="62" t="str">
        <f>IF($J391=0,"",IF(INDEX('Прайс и заказ'!I:I,$J391)="","",INDEX('Прайс и заказ'!I:I,$J391)))</f>
      </c>
      <c r="G391" s="63" t="str">
        <f>IF($J391=0,"",IF(INDEX('Прайс и заказ'!K:K,$J391)="","",INDEX('Прайс и заказ'!K:K,$J391)))</f>
      </c>
      <c r="H391" s="62" t="str">
        <f>IF($J391=0,"",IF(INDEX('Прайс и заказ'!L:L,$J391)="","",INDEX('Прайс и заказ'!L:L,$J391)))</f>
      </c>
      <c r="I391" s="13" t="str">
        <f>IF($J391=0,"",IF(INDEX('Прайс и заказ'!M:M,$J391)="","",INDEX('Прайс и заказ'!M:M,$J391)))</f>
      </c>
      <c r="J391" t="str">
        <f>IFERROR(MATCH(383,'Прайс и заказ'!$N$7:$N$435,0)+6,0)</f>
      </c>
    </row>
    <row r="392" spans="1:11" customHeight="1" ht="40">
      <c r="A392" s="13" t="str">
        <f>IF($J392=0,"",IFERROR(_xlfn.IMAGE(INDEX('Прайс и заказ'!$O:$O,$J392)),""))</f>
      </c>
      <c r="B392" s="61" t="str">
        <f>IF($J392=0,"",IF(INDEX('Прайс и заказ'!B:B,$J392)="","",INDEX('Прайс и заказ'!B:B,$J392)))</f>
      </c>
      <c r="C392" s="64" t="str">
        <f>IF($J392=0,"",IF(INDEX('Прайс и заказ'!C:C,$J392)="","",INDEX('Прайс и заказ'!C:C,$J392)))</f>
      </c>
      <c r="D392" s="64" t="str">
        <f>IF($J392=0,"",IF(INDEX('Прайс и заказ'!D:D,$J392)="","",INDEX('Прайс и заказ'!D:D,$J392)))</f>
      </c>
      <c r="E392" s="61" t="str">
        <f>IF($J392=0,"",IF(INDEX('Прайс и заказ'!F:F,$J392)="","",INDEX('Прайс и заказ'!F:F,$J392)))</f>
      </c>
      <c r="F392" s="62" t="str">
        <f>IF($J392=0,"",IF(INDEX('Прайс и заказ'!I:I,$J392)="","",INDEX('Прайс и заказ'!I:I,$J392)))</f>
      </c>
      <c r="G392" s="63" t="str">
        <f>IF($J392=0,"",IF(INDEX('Прайс и заказ'!K:K,$J392)="","",INDEX('Прайс и заказ'!K:K,$J392)))</f>
      </c>
      <c r="H392" s="62" t="str">
        <f>IF($J392=0,"",IF(INDEX('Прайс и заказ'!L:L,$J392)="","",INDEX('Прайс и заказ'!L:L,$J392)))</f>
      </c>
      <c r="I392" s="13" t="str">
        <f>IF($J392=0,"",IF(INDEX('Прайс и заказ'!M:M,$J392)="","",INDEX('Прайс и заказ'!M:M,$J392)))</f>
      </c>
      <c r="J392" t="str">
        <f>IFERROR(MATCH(384,'Прайс и заказ'!$N$7:$N$435,0)+6,0)</f>
      </c>
    </row>
    <row r="393" spans="1:11" customHeight="1" ht="40">
      <c r="A393" s="13" t="str">
        <f>IF($J393=0,"",IFERROR(_xlfn.IMAGE(INDEX('Прайс и заказ'!$O:$O,$J393)),""))</f>
      </c>
      <c r="B393" s="61" t="str">
        <f>IF($J393=0,"",IF(INDEX('Прайс и заказ'!B:B,$J393)="","",INDEX('Прайс и заказ'!B:B,$J393)))</f>
      </c>
      <c r="C393" s="64" t="str">
        <f>IF($J393=0,"",IF(INDEX('Прайс и заказ'!C:C,$J393)="","",INDEX('Прайс и заказ'!C:C,$J393)))</f>
      </c>
      <c r="D393" s="64" t="str">
        <f>IF($J393=0,"",IF(INDEX('Прайс и заказ'!D:D,$J393)="","",INDEX('Прайс и заказ'!D:D,$J393)))</f>
      </c>
      <c r="E393" s="61" t="str">
        <f>IF($J393=0,"",IF(INDEX('Прайс и заказ'!F:F,$J393)="","",INDEX('Прайс и заказ'!F:F,$J393)))</f>
      </c>
      <c r="F393" s="62" t="str">
        <f>IF($J393=0,"",IF(INDEX('Прайс и заказ'!I:I,$J393)="","",INDEX('Прайс и заказ'!I:I,$J393)))</f>
      </c>
      <c r="G393" s="63" t="str">
        <f>IF($J393=0,"",IF(INDEX('Прайс и заказ'!K:K,$J393)="","",INDEX('Прайс и заказ'!K:K,$J393)))</f>
      </c>
      <c r="H393" s="62" t="str">
        <f>IF($J393=0,"",IF(INDEX('Прайс и заказ'!L:L,$J393)="","",INDEX('Прайс и заказ'!L:L,$J393)))</f>
      </c>
      <c r="I393" s="13" t="str">
        <f>IF($J393=0,"",IF(INDEX('Прайс и заказ'!M:M,$J393)="","",INDEX('Прайс и заказ'!M:M,$J393)))</f>
      </c>
      <c r="J393" t="str">
        <f>IFERROR(MATCH(385,'Прайс и заказ'!$N$7:$N$435,0)+6,0)</f>
      </c>
    </row>
    <row r="394" spans="1:11" customHeight="1" ht="40">
      <c r="A394" s="13" t="str">
        <f>IF($J394=0,"",IFERROR(_xlfn.IMAGE(INDEX('Прайс и заказ'!$O:$O,$J394)),""))</f>
      </c>
      <c r="B394" s="61" t="str">
        <f>IF($J394=0,"",IF(INDEX('Прайс и заказ'!B:B,$J394)="","",INDEX('Прайс и заказ'!B:B,$J394)))</f>
      </c>
      <c r="C394" s="64" t="str">
        <f>IF($J394=0,"",IF(INDEX('Прайс и заказ'!C:C,$J394)="","",INDEX('Прайс и заказ'!C:C,$J394)))</f>
      </c>
      <c r="D394" s="64" t="str">
        <f>IF($J394=0,"",IF(INDEX('Прайс и заказ'!D:D,$J394)="","",INDEX('Прайс и заказ'!D:D,$J394)))</f>
      </c>
      <c r="E394" s="61" t="str">
        <f>IF($J394=0,"",IF(INDEX('Прайс и заказ'!F:F,$J394)="","",INDEX('Прайс и заказ'!F:F,$J394)))</f>
      </c>
      <c r="F394" s="62" t="str">
        <f>IF($J394=0,"",IF(INDEX('Прайс и заказ'!I:I,$J394)="","",INDEX('Прайс и заказ'!I:I,$J394)))</f>
      </c>
      <c r="G394" s="63" t="str">
        <f>IF($J394=0,"",IF(INDEX('Прайс и заказ'!K:K,$J394)="","",INDEX('Прайс и заказ'!K:K,$J394)))</f>
      </c>
      <c r="H394" s="62" t="str">
        <f>IF($J394=0,"",IF(INDEX('Прайс и заказ'!L:L,$J394)="","",INDEX('Прайс и заказ'!L:L,$J394)))</f>
      </c>
      <c r="I394" s="13" t="str">
        <f>IF($J394=0,"",IF(INDEX('Прайс и заказ'!M:M,$J394)="","",INDEX('Прайс и заказ'!M:M,$J394)))</f>
      </c>
      <c r="J394" t="str">
        <f>IFERROR(MATCH(386,'Прайс и заказ'!$N$7:$N$435,0)+6,0)</f>
      </c>
    </row>
    <row r="395" spans="1:11" customHeight="1" ht="40">
      <c r="A395" s="13" t="str">
        <f>IF($J395=0,"",IFERROR(_xlfn.IMAGE(INDEX('Прайс и заказ'!$O:$O,$J395)),""))</f>
      </c>
      <c r="B395" s="61" t="str">
        <f>IF($J395=0,"",IF(INDEX('Прайс и заказ'!B:B,$J395)="","",INDEX('Прайс и заказ'!B:B,$J395)))</f>
      </c>
      <c r="C395" s="64" t="str">
        <f>IF($J395=0,"",IF(INDEX('Прайс и заказ'!C:C,$J395)="","",INDEX('Прайс и заказ'!C:C,$J395)))</f>
      </c>
      <c r="D395" s="64" t="str">
        <f>IF($J395=0,"",IF(INDEX('Прайс и заказ'!D:D,$J395)="","",INDEX('Прайс и заказ'!D:D,$J395)))</f>
      </c>
      <c r="E395" s="61" t="str">
        <f>IF($J395=0,"",IF(INDEX('Прайс и заказ'!F:F,$J395)="","",INDEX('Прайс и заказ'!F:F,$J395)))</f>
      </c>
      <c r="F395" s="62" t="str">
        <f>IF($J395=0,"",IF(INDEX('Прайс и заказ'!I:I,$J395)="","",INDEX('Прайс и заказ'!I:I,$J395)))</f>
      </c>
      <c r="G395" s="63" t="str">
        <f>IF($J395=0,"",IF(INDEX('Прайс и заказ'!K:K,$J395)="","",INDEX('Прайс и заказ'!K:K,$J395)))</f>
      </c>
      <c r="H395" s="62" t="str">
        <f>IF($J395=0,"",IF(INDEX('Прайс и заказ'!L:L,$J395)="","",INDEX('Прайс и заказ'!L:L,$J395)))</f>
      </c>
      <c r="I395" s="13" t="str">
        <f>IF($J395=0,"",IF(INDEX('Прайс и заказ'!M:M,$J395)="","",INDEX('Прайс и заказ'!M:M,$J395)))</f>
      </c>
      <c r="J395" t="str">
        <f>IFERROR(MATCH(387,'Прайс и заказ'!$N$7:$N$435,0)+6,0)</f>
      </c>
    </row>
    <row r="396" spans="1:11" customHeight="1" ht="40">
      <c r="A396" s="13" t="str">
        <f>IF($J396=0,"",IFERROR(_xlfn.IMAGE(INDEX('Прайс и заказ'!$O:$O,$J396)),""))</f>
      </c>
      <c r="B396" s="61" t="str">
        <f>IF($J396=0,"",IF(INDEX('Прайс и заказ'!B:B,$J396)="","",INDEX('Прайс и заказ'!B:B,$J396)))</f>
      </c>
      <c r="C396" s="64" t="str">
        <f>IF($J396=0,"",IF(INDEX('Прайс и заказ'!C:C,$J396)="","",INDEX('Прайс и заказ'!C:C,$J396)))</f>
      </c>
      <c r="D396" s="64" t="str">
        <f>IF($J396=0,"",IF(INDEX('Прайс и заказ'!D:D,$J396)="","",INDEX('Прайс и заказ'!D:D,$J396)))</f>
      </c>
      <c r="E396" s="61" t="str">
        <f>IF($J396=0,"",IF(INDEX('Прайс и заказ'!F:F,$J396)="","",INDEX('Прайс и заказ'!F:F,$J396)))</f>
      </c>
      <c r="F396" s="62" t="str">
        <f>IF($J396=0,"",IF(INDEX('Прайс и заказ'!I:I,$J396)="","",INDEX('Прайс и заказ'!I:I,$J396)))</f>
      </c>
      <c r="G396" s="63" t="str">
        <f>IF($J396=0,"",IF(INDEX('Прайс и заказ'!K:K,$J396)="","",INDEX('Прайс и заказ'!K:K,$J396)))</f>
      </c>
      <c r="H396" s="62" t="str">
        <f>IF($J396=0,"",IF(INDEX('Прайс и заказ'!L:L,$J396)="","",INDEX('Прайс и заказ'!L:L,$J396)))</f>
      </c>
      <c r="I396" s="13" t="str">
        <f>IF($J396=0,"",IF(INDEX('Прайс и заказ'!M:M,$J396)="","",INDEX('Прайс и заказ'!M:M,$J396)))</f>
      </c>
      <c r="J396" t="str">
        <f>IFERROR(MATCH(388,'Прайс и заказ'!$N$7:$N$435,0)+6,0)</f>
      </c>
    </row>
    <row r="397" spans="1:11" customHeight="1" ht="40">
      <c r="A397" s="13" t="str">
        <f>IF($J397=0,"",IFERROR(_xlfn.IMAGE(INDEX('Прайс и заказ'!$O:$O,$J397)),""))</f>
      </c>
      <c r="B397" s="61" t="str">
        <f>IF($J397=0,"",IF(INDEX('Прайс и заказ'!B:B,$J397)="","",INDEX('Прайс и заказ'!B:B,$J397)))</f>
      </c>
      <c r="C397" s="64" t="str">
        <f>IF($J397=0,"",IF(INDEX('Прайс и заказ'!C:C,$J397)="","",INDEX('Прайс и заказ'!C:C,$J397)))</f>
      </c>
      <c r="D397" s="64" t="str">
        <f>IF($J397=0,"",IF(INDEX('Прайс и заказ'!D:D,$J397)="","",INDEX('Прайс и заказ'!D:D,$J397)))</f>
      </c>
      <c r="E397" s="61" t="str">
        <f>IF($J397=0,"",IF(INDEX('Прайс и заказ'!F:F,$J397)="","",INDEX('Прайс и заказ'!F:F,$J397)))</f>
      </c>
      <c r="F397" s="62" t="str">
        <f>IF($J397=0,"",IF(INDEX('Прайс и заказ'!I:I,$J397)="","",INDEX('Прайс и заказ'!I:I,$J397)))</f>
      </c>
      <c r="G397" s="63" t="str">
        <f>IF($J397=0,"",IF(INDEX('Прайс и заказ'!K:K,$J397)="","",INDEX('Прайс и заказ'!K:K,$J397)))</f>
      </c>
      <c r="H397" s="62" t="str">
        <f>IF($J397=0,"",IF(INDEX('Прайс и заказ'!L:L,$J397)="","",INDEX('Прайс и заказ'!L:L,$J397)))</f>
      </c>
      <c r="I397" s="13" t="str">
        <f>IF($J397=0,"",IF(INDEX('Прайс и заказ'!M:M,$J397)="","",INDEX('Прайс и заказ'!M:M,$J397)))</f>
      </c>
      <c r="J397" t="str">
        <f>IFERROR(MATCH(389,'Прайс и заказ'!$N$7:$N$435,0)+6,0)</f>
      </c>
    </row>
    <row r="398" spans="1:11" customHeight="1" ht="40">
      <c r="A398" s="13" t="str">
        <f>IF($J398=0,"",IFERROR(_xlfn.IMAGE(INDEX('Прайс и заказ'!$O:$O,$J398)),""))</f>
      </c>
      <c r="B398" s="61" t="str">
        <f>IF($J398=0,"",IF(INDEX('Прайс и заказ'!B:B,$J398)="","",INDEX('Прайс и заказ'!B:B,$J398)))</f>
      </c>
      <c r="C398" s="64" t="str">
        <f>IF($J398=0,"",IF(INDEX('Прайс и заказ'!C:C,$J398)="","",INDEX('Прайс и заказ'!C:C,$J398)))</f>
      </c>
      <c r="D398" s="64" t="str">
        <f>IF($J398=0,"",IF(INDEX('Прайс и заказ'!D:D,$J398)="","",INDEX('Прайс и заказ'!D:D,$J398)))</f>
      </c>
      <c r="E398" s="61" t="str">
        <f>IF($J398=0,"",IF(INDEX('Прайс и заказ'!F:F,$J398)="","",INDEX('Прайс и заказ'!F:F,$J398)))</f>
      </c>
      <c r="F398" s="62" t="str">
        <f>IF($J398=0,"",IF(INDEX('Прайс и заказ'!I:I,$J398)="","",INDEX('Прайс и заказ'!I:I,$J398)))</f>
      </c>
      <c r="G398" s="63" t="str">
        <f>IF($J398=0,"",IF(INDEX('Прайс и заказ'!K:K,$J398)="","",INDEX('Прайс и заказ'!K:K,$J398)))</f>
      </c>
      <c r="H398" s="62" t="str">
        <f>IF($J398=0,"",IF(INDEX('Прайс и заказ'!L:L,$J398)="","",INDEX('Прайс и заказ'!L:L,$J398)))</f>
      </c>
      <c r="I398" s="13" t="str">
        <f>IF($J398=0,"",IF(INDEX('Прайс и заказ'!M:M,$J398)="","",INDEX('Прайс и заказ'!M:M,$J398)))</f>
      </c>
      <c r="J398" t="str">
        <f>IFERROR(MATCH(390,'Прайс и заказ'!$N$7:$N$435,0)+6,0)</f>
      </c>
    </row>
    <row r="399" spans="1:11" customHeight="1" ht="40">
      <c r="A399" s="13" t="str">
        <f>IF($J399=0,"",IFERROR(_xlfn.IMAGE(INDEX('Прайс и заказ'!$O:$O,$J399)),""))</f>
      </c>
      <c r="B399" s="61" t="str">
        <f>IF($J399=0,"",IF(INDEX('Прайс и заказ'!B:B,$J399)="","",INDEX('Прайс и заказ'!B:B,$J399)))</f>
      </c>
      <c r="C399" s="64" t="str">
        <f>IF($J399=0,"",IF(INDEX('Прайс и заказ'!C:C,$J399)="","",INDEX('Прайс и заказ'!C:C,$J399)))</f>
      </c>
      <c r="D399" s="64" t="str">
        <f>IF($J399=0,"",IF(INDEX('Прайс и заказ'!D:D,$J399)="","",INDEX('Прайс и заказ'!D:D,$J399)))</f>
      </c>
      <c r="E399" s="61" t="str">
        <f>IF($J399=0,"",IF(INDEX('Прайс и заказ'!F:F,$J399)="","",INDEX('Прайс и заказ'!F:F,$J399)))</f>
      </c>
      <c r="F399" s="62" t="str">
        <f>IF($J399=0,"",IF(INDEX('Прайс и заказ'!I:I,$J399)="","",INDEX('Прайс и заказ'!I:I,$J399)))</f>
      </c>
      <c r="G399" s="63" t="str">
        <f>IF($J399=0,"",IF(INDEX('Прайс и заказ'!K:K,$J399)="","",INDEX('Прайс и заказ'!K:K,$J399)))</f>
      </c>
      <c r="H399" s="62" t="str">
        <f>IF($J399=0,"",IF(INDEX('Прайс и заказ'!L:L,$J399)="","",INDEX('Прайс и заказ'!L:L,$J399)))</f>
      </c>
      <c r="I399" s="13" t="str">
        <f>IF($J399=0,"",IF(INDEX('Прайс и заказ'!M:M,$J399)="","",INDEX('Прайс и заказ'!M:M,$J399)))</f>
      </c>
      <c r="J399" t="str">
        <f>IFERROR(MATCH(391,'Прайс и заказ'!$N$7:$N$435,0)+6,0)</f>
      </c>
    </row>
    <row r="400" spans="1:11" customHeight="1" ht="40">
      <c r="A400" s="13" t="str">
        <f>IF($J400=0,"",IFERROR(_xlfn.IMAGE(INDEX('Прайс и заказ'!$O:$O,$J400)),""))</f>
      </c>
      <c r="B400" s="61" t="str">
        <f>IF($J400=0,"",IF(INDEX('Прайс и заказ'!B:B,$J400)="","",INDEX('Прайс и заказ'!B:B,$J400)))</f>
      </c>
      <c r="C400" s="64" t="str">
        <f>IF($J400=0,"",IF(INDEX('Прайс и заказ'!C:C,$J400)="","",INDEX('Прайс и заказ'!C:C,$J400)))</f>
      </c>
      <c r="D400" s="64" t="str">
        <f>IF($J400=0,"",IF(INDEX('Прайс и заказ'!D:D,$J400)="","",INDEX('Прайс и заказ'!D:D,$J400)))</f>
      </c>
      <c r="E400" s="61" t="str">
        <f>IF($J400=0,"",IF(INDEX('Прайс и заказ'!F:F,$J400)="","",INDEX('Прайс и заказ'!F:F,$J400)))</f>
      </c>
      <c r="F400" s="62" t="str">
        <f>IF($J400=0,"",IF(INDEX('Прайс и заказ'!I:I,$J400)="","",INDEX('Прайс и заказ'!I:I,$J400)))</f>
      </c>
      <c r="G400" s="63" t="str">
        <f>IF($J400=0,"",IF(INDEX('Прайс и заказ'!K:K,$J400)="","",INDEX('Прайс и заказ'!K:K,$J400)))</f>
      </c>
      <c r="H400" s="62" t="str">
        <f>IF($J400=0,"",IF(INDEX('Прайс и заказ'!L:L,$J400)="","",INDEX('Прайс и заказ'!L:L,$J400)))</f>
      </c>
      <c r="I400" s="13" t="str">
        <f>IF($J400=0,"",IF(INDEX('Прайс и заказ'!M:M,$J400)="","",INDEX('Прайс и заказ'!M:M,$J400)))</f>
      </c>
      <c r="J400" t="str">
        <f>IFERROR(MATCH(392,'Прайс и заказ'!$N$7:$N$435,0)+6,0)</f>
      </c>
    </row>
    <row r="401" spans="1:11" customHeight="1" ht="40">
      <c r="A401" s="13" t="str">
        <f>IF($J401=0,"",IFERROR(_xlfn.IMAGE(INDEX('Прайс и заказ'!$O:$O,$J401)),""))</f>
      </c>
      <c r="B401" s="61" t="str">
        <f>IF($J401=0,"",IF(INDEX('Прайс и заказ'!B:B,$J401)="","",INDEX('Прайс и заказ'!B:B,$J401)))</f>
      </c>
      <c r="C401" s="64" t="str">
        <f>IF($J401=0,"",IF(INDEX('Прайс и заказ'!C:C,$J401)="","",INDEX('Прайс и заказ'!C:C,$J401)))</f>
      </c>
      <c r="D401" s="64" t="str">
        <f>IF($J401=0,"",IF(INDEX('Прайс и заказ'!D:D,$J401)="","",INDEX('Прайс и заказ'!D:D,$J401)))</f>
      </c>
      <c r="E401" s="61" t="str">
        <f>IF($J401=0,"",IF(INDEX('Прайс и заказ'!F:F,$J401)="","",INDEX('Прайс и заказ'!F:F,$J401)))</f>
      </c>
      <c r="F401" s="62" t="str">
        <f>IF($J401=0,"",IF(INDEX('Прайс и заказ'!I:I,$J401)="","",INDEX('Прайс и заказ'!I:I,$J401)))</f>
      </c>
      <c r="G401" s="63" t="str">
        <f>IF($J401=0,"",IF(INDEX('Прайс и заказ'!K:K,$J401)="","",INDEX('Прайс и заказ'!K:K,$J401)))</f>
      </c>
      <c r="H401" s="62" t="str">
        <f>IF($J401=0,"",IF(INDEX('Прайс и заказ'!L:L,$J401)="","",INDEX('Прайс и заказ'!L:L,$J401)))</f>
      </c>
      <c r="I401" s="13" t="str">
        <f>IF($J401=0,"",IF(INDEX('Прайс и заказ'!M:M,$J401)="","",INDEX('Прайс и заказ'!M:M,$J401)))</f>
      </c>
      <c r="J401" t="str">
        <f>IFERROR(MATCH(393,'Прайс и заказ'!$N$7:$N$435,0)+6,0)</f>
      </c>
    </row>
    <row r="402" spans="1:11" customHeight="1" ht="40">
      <c r="A402" s="13" t="str">
        <f>IF($J402=0,"",IFERROR(_xlfn.IMAGE(INDEX('Прайс и заказ'!$O:$O,$J402)),""))</f>
      </c>
      <c r="B402" s="61" t="str">
        <f>IF($J402=0,"",IF(INDEX('Прайс и заказ'!B:B,$J402)="","",INDEX('Прайс и заказ'!B:B,$J402)))</f>
      </c>
      <c r="C402" s="64" t="str">
        <f>IF($J402=0,"",IF(INDEX('Прайс и заказ'!C:C,$J402)="","",INDEX('Прайс и заказ'!C:C,$J402)))</f>
      </c>
      <c r="D402" s="64" t="str">
        <f>IF($J402=0,"",IF(INDEX('Прайс и заказ'!D:D,$J402)="","",INDEX('Прайс и заказ'!D:D,$J402)))</f>
      </c>
      <c r="E402" s="61" t="str">
        <f>IF($J402=0,"",IF(INDEX('Прайс и заказ'!F:F,$J402)="","",INDEX('Прайс и заказ'!F:F,$J402)))</f>
      </c>
      <c r="F402" s="62" t="str">
        <f>IF($J402=0,"",IF(INDEX('Прайс и заказ'!I:I,$J402)="","",INDEX('Прайс и заказ'!I:I,$J402)))</f>
      </c>
      <c r="G402" s="63" t="str">
        <f>IF($J402=0,"",IF(INDEX('Прайс и заказ'!K:K,$J402)="","",INDEX('Прайс и заказ'!K:K,$J402)))</f>
      </c>
      <c r="H402" s="62" t="str">
        <f>IF($J402=0,"",IF(INDEX('Прайс и заказ'!L:L,$J402)="","",INDEX('Прайс и заказ'!L:L,$J402)))</f>
      </c>
      <c r="I402" s="13" t="str">
        <f>IF($J402=0,"",IF(INDEX('Прайс и заказ'!M:M,$J402)="","",INDEX('Прайс и заказ'!M:M,$J402)))</f>
      </c>
      <c r="J402" t="str">
        <f>IFERROR(MATCH(394,'Прайс и заказ'!$N$7:$N$435,0)+6,0)</f>
      </c>
    </row>
    <row r="403" spans="1:11" customHeight="1" ht="40">
      <c r="A403" s="13" t="str">
        <f>IF($J403=0,"",IFERROR(_xlfn.IMAGE(INDEX('Прайс и заказ'!$O:$O,$J403)),""))</f>
      </c>
      <c r="B403" s="61" t="str">
        <f>IF($J403=0,"",IF(INDEX('Прайс и заказ'!B:B,$J403)="","",INDEX('Прайс и заказ'!B:B,$J403)))</f>
      </c>
      <c r="C403" s="64" t="str">
        <f>IF($J403=0,"",IF(INDEX('Прайс и заказ'!C:C,$J403)="","",INDEX('Прайс и заказ'!C:C,$J403)))</f>
      </c>
      <c r="D403" s="64" t="str">
        <f>IF($J403=0,"",IF(INDEX('Прайс и заказ'!D:D,$J403)="","",INDEX('Прайс и заказ'!D:D,$J403)))</f>
      </c>
      <c r="E403" s="61" t="str">
        <f>IF($J403=0,"",IF(INDEX('Прайс и заказ'!F:F,$J403)="","",INDEX('Прайс и заказ'!F:F,$J403)))</f>
      </c>
      <c r="F403" s="62" t="str">
        <f>IF($J403=0,"",IF(INDEX('Прайс и заказ'!I:I,$J403)="","",INDEX('Прайс и заказ'!I:I,$J403)))</f>
      </c>
      <c r="G403" s="63" t="str">
        <f>IF($J403=0,"",IF(INDEX('Прайс и заказ'!K:K,$J403)="","",INDEX('Прайс и заказ'!K:K,$J403)))</f>
      </c>
      <c r="H403" s="62" t="str">
        <f>IF($J403=0,"",IF(INDEX('Прайс и заказ'!L:L,$J403)="","",INDEX('Прайс и заказ'!L:L,$J403)))</f>
      </c>
      <c r="I403" s="13" t="str">
        <f>IF($J403=0,"",IF(INDEX('Прайс и заказ'!M:M,$J403)="","",INDEX('Прайс и заказ'!M:M,$J403)))</f>
      </c>
      <c r="J403" t="str">
        <f>IFERROR(MATCH(395,'Прайс и заказ'!$N$7:$N$435,0)+6,0)</f>
      </c>
    </row>
    <row r="404" spans="1:11" customHeight="1" ht="40">
      <c r="A404" s="13" t="str">
        <f>IF($J404=0,"",IFERROR(_xlfn.IMAGE(INDEX('Прайс и заказ'!$O:$O,$J404)),""))</f>
      </c>
      <c r="B404" s="61" t="str">
        <f>IF($J404=0,"",IF(INDEX('Прайс и заказ'!B:B,$J404)="","",INDEX('Прайс и заказ'!B:B,$J404)))</f>
      </c>
      <c r="C404" s="64" t="str">
        <f>IF($J404=0,"",IF(INDEX('Прайс и заказ'!C:C,$J404)="","",INDEX('Прайс и заказ'!C:C,$J404)))</f>
      </c>
      <c r="D404" s="64" t="str">
        <f>IF($J404=0,"",IF(INDEX('Прайс и заказ'!D:D,$J404)="","",INDEX('Прайс и заказ'!D:D,$J404)))</f>
      </c>
      <c r="E404" s="61" t="str">
        <f>IF($J404=0,"",IF(INDEX('Прайс и заказ'!F:F,$J404)="","",INDEX('Прайс и заказ'!F:F,$J404)))</f>
      </c>
      <c r="F404" s="62" t="str">
        <f>IF($J404=0,"",IF(INDEX('Прайс и заказ'!I:I,$J404)="","",INDEX('Прайс и заказ'!I:I,$J404)))</f>
      </c>
      <c r="G404" s="63" t="str">
        <f>IF($J404=0,"",IF(INDEX('Прайс и заказ'!K:K,$J404)="","",INDEX('Прайс и заказ'!K:K,$J404)))</f>
      </c>
      <c r="H404" s="62" t="str">
        <f>IF($J404=0,"",IF(INDEX('Прайс и заказ'!L:L,$J404)="","",INDEX('Прайс и заказ'!L:L,$J404)))</f>
      </c>
      <c r="I404" s="13" t="str">
        <f>IF($J404=0,"",IF(INDEX('Прайс и заказ'!M:M,$J404)="","",INDEX('Прайс и заказ'!M:M,$J404)))</f>
      </c>
      <c r="J404" t="str">
        <f>IFERROR(MATCH(396,'Прайс и заказ'!$N$7:$N$435,0)+6,0)</f>
      </c>
    </row>
    <row r="405" spans="1:11" customHeight="1" ht="40">
      <c r="A405" s="13" t="str">
        <f>IF($J405=0,"",IFERROR(_xlfn.IMAGE(INDEX('Прайс и заказ'!$O:$O,$J405)),""))</f>
      </c>
      <c r="B405" s="61" t="str">
        <f>IF($J405=0,"",IF(INDEX('Прайс и заказ'!B:B,$J405)="","",INDEX('Прайс и заказ'!B:B,$J405)))</f>
      </c>
      <c r="C405" s="64" t="str">
        <f>IF($J405=0,"",IF(INDEX('Прайс и заказ'!C:C,$J405)="","",INDEX('Прайс и заказ'!C:C,$J405)))</f>
      </c>
      <c r="D405" s="64" t="str">
        <f>IF($J405=0,"",IF(INDEX('Прайс и заказ'!D:D,$J405)="","",INDEX('Прайс и заказ'!D:D,$J405)))</f>
      </c>
      <c r="E405" s="61" t="str">
        <f>IF($J405=0,"",IF(INDEX('Прайс и заказ'!F:F,$J405)="","",INDEX('Прайс и заказ'!F:F,$J405)))</f>
      </c>
      <c r="F405" s="62" t="str">
        <f>IF($J405=0,"",IF(INDEX('Прайс и заказ'!I:I,$J405)="","",INDEX('Прайс и заказ'!I:I,$J405)))</f>
      </c>
      <c r="G405" s="63" t="str">
        <f>IF($J405=0,"",IF(INDEX('Прайс и заказ'!K:K,$J405)="","",INDEX('Прайс и заказ'!K:K,$J405)))</f>
      </c>
      <c r="H405" s="62" t="str">
        <f>IF($J405=0,"",IF(INDEX('Прайс и заказ'!L:L,$J405)="","",INDEX('Прайс и заказ'!L:L,$J405)))</f>
      </c>
      <c r="I405" s="13" t="str">
        <f>IF($J405=0,"",IF(INDEX('Прайс и заказ'!M:M,$J405)="","",INDEX('Прайс и заказ'!M:M,$J405)))</f>
      </c>
      <c r="J405" t="str">
        <f>IFERROR(MATCH(397,'Прайс и заказ'!$N$7:$N$435,0)+6,0)</f>
      </c>
    </row>
    <row r="406" spans="1:11" customHeight="1" ht="40">
      <c r="A406" s="13" t="str">
        <f>IF($J406=0,"",IFERROR(_xlfn.IMAGE(INDEX('Прайс и заказ'!$O:$O,$J406)),""))</f>
      </c>
      <c r="B406" s="61" t="str">
        <f>IF($J406=0,"",IF(INDEX('Прайс и заказ'!B:B,$J406)="","",INDEX('Прайс и заказ'!B:B,$J406)))</f>
      </c>
      <c r="C406" s="64" t="str">
        <f>IF($J406=0,"",IF(INDEX('Прайс и заказ'!C:C,$J406)="","",INDEX('Прайс и заказ'!C:C,$J406)))</f>
      </c>
      <c r="D406" s="64" t="str">
        <f>IF($J406=0,"",IF(INDEX('Прайс и заказ'!D:D,$J406)="","",INDEX('Прайс и заказ'!D:D,$J406)))</f>
      </c>
      <c r="E406" s="61" t="str">
        <f>IF($J406=0,"",IF(INDEX('Прайс и заказ'!F:F,$J406)="","",INDEX('Прайс и заказ'!F:F,$J406)))</f>
      </c>
      <c r="F406" s="62" t="str">
        <f>IF($J406=0,"",IF(INDEX('Прайс и заказ'!I:I,$J406)="","",INDEX('Прайс и заказ'!I:I,$J406)))</f>
      </c>
      <c r="G406" s="63" t="str">
        <f>IF($J406=0,"",IF(INDEX('Прайс и заказ'!K:K,$J406)="","",INDEX('Прайс и заказ'!K:K,$J406)))</f>
      </c>
      <c r="H406" s="62" t="str">
        <f>IF($J406=0,"",IF(INDEX('Прайс и заказ'!L:L,$J406)="","",INDEX('Прайс и заказ'!L:L,$J406)))</f>
      </c>
      <c r="I406" s="13" t="str">
        <f>IF($J406=0,"",IF(INDEX('Прайс и заказ'!M:M,$J406)="","",INDEX('Прайс и заказ'!M:M,$J406)))</f>
      </c>
      <c r="J406" t="str">
        <f>IFERROR(MATCH(398,'Прайс и заказ'!$N$7:$N$435,0)+6,0)</f>
      </c>
    </row>
    <row r="407" spans="1:11" customHeight="1" ht="40">
      <c r="A407" s="13" t="str">
        <f>IF($J407=0,"",IFERROR(_xlfn.IMAGE(INDEX('Прайс и заказ'!$O:$O,$J407)),""))</f>
      </c>
      <c r="B407" s="61" t="str">
        <f>IF($J407=0,"",IF(INDEX('Прайс и заказ'!B:B,$J407)="","",INDEX('Прайс и заказ'!B:B,$J407)))</f>
      </c>
      <c r="C407" s="64" t="str">
        <f>IF($J407=0,"",IF(INDEX('Прайс и заказ'!C:C,$J407)="","",INDEX('Прайс и заказ'!C:C,$J407)))</f>
      </c>
      <c r="D407" s="64" t="str">
        <f>IF($J407=0,"",IF(INDEX('Прайс и заказ'!D:D,$J407)="","",INDEX('Прайс и заказ'!D:D,$J407)))</f>
      </c>
      <c r="E407" s="61" t="str">
        <f>IF($J407=0,"",IF(INDEX('Прайс и заказ'!F:F,$J407)="","",INDEX('Прайс и заказ'!F:F,$J407)))</f>
      </c>
      <c r="F407" s="62" t="str">
        <f>IF($J407=0,"",IF(INDEX('Прайс и заказ'!I:I,$J407)="","",INDEX('Прайс и заказ'!I:I,$J407)))</f>
      </c>
      <c r="G407" s="63" t="str">
        <f>IF($J407=0,"",IF(INDEX('Прайс и заказ'!K:K,$J407)="","",INDEX('Прайс и заказ'!K:K,$J407)))</f>
      </c>
      <c r="H407" s="62" t="str">
        <f>IF($J407=0,"",IF(INDEX('Прайс и заказ'!L:L,$J407)="","",INDEX('Прайс и заказ'!L:L,$J407)))</f>
      </c>
      <c r="I407" s="13" t="str">
        <f>IF($J407=0,"",IF(INDEX('Прайс и заказ'!M:M,$J407)="","",INDEX('Прайс и заказ'!M:M,$J407)))</f>
      </c>
      <c r="J407" t="str">
        <f>IFERROR(MATCH(399,'Прайс и заказ'!$N$7:$N$435,0)+6,0)</f>
      </c>
    </row>
    <row r="408" spans="1:11" customHeight="1" ht="40">
      <c r="A408" s="13" t="str">
        <f>IF($J408=0,"",IFERROR(_xlfn.IMAGE(INDEX('Прайс и заказ'!$O:$O,$J408)),""))</f>
      </c>
      <c r="B408" s="61" t="str">
        <f>IF($J408=0,"",IF(INDEX('Прайс и заказ'!B:B,$J408)="","",INDEX('Прайс и заказ'!B:B,$J408)))</f>
      </c>
      <c r="C408" s="64" t="str">
        <f>IF($J408=0,"",IF(INDEX('Прайс и заказ'!C:C,$J408)="","",INDEX('Прайс и заказ'!C:C,$J408)))</f>
      </c>
      <c r="D408" s="64" t="str">
        <f>IF($J408=0,"",IF(INDEX('Прайс и заказ'!D:D,$J408)="","",INDEX('Прайс и заказ'!D:D,$J408)))</f>
      </c>
      <c r="E408" s="61" t="str">
        <f>IF($J408=0,"",IF(INDEX('Прайс и заказ'!F:F,$J408)="","",INDEX('Прайс и заказ'!F:F,$J408)))</f>
      </c>
      <c r="F408" s="62" t="str">
        <f>IF($J408=0,"",IF(INDEX('Прайс и заказ'!I:I,$J408)="","",INDEX('Прайс и заказ'!I:I,$J408)))</f>
      </c>
      <c r="G408" s="63" t="str">
        <f>IF($J408=0,"",IF(INDEX('Прайс и заказ'!K:K,$J408)="","",INDEX('Прайс и заказ'!K:K,$J408)))</f>
      </c>
      <c r="H408" s="62" t="str">
        <f>IF($J408=0,"",IF(INDEX('Прайс и заказ'!L:L,$J408)="","",INDEX('Прайс и заказ'!L:L,$J408)))</f>
      </c>
      <c r="I408" s="13" t="str">
        <f>IF($J408=0,"",IF(INDEX('Прайс и заказ'!M:M,$J408)="","",INDEX('Прайс и заказ'!M:M,$J408)))</f>
      </c>
      <c r="J408" t="str">
        <f>IFERROR(MATCH(400,'Прайс и заказ'!$N$7:$N$435,0)+6,0)</f>
      </c>
    </row>
    <row r="409" spans="1:11" customHeight="1" ht="40">
      <c r="A409" s="13" t="str">
        <f>IF($J409=0,"",IFERROR(_xlfn.IMAGE(INDEX('Прайс и заказ'!$O:$O,$J409)),""))</f>
      </c>
      <c r="B409" s="61" t="str">
        <f>IF($J409=0,"",IF(INDEX('Прайс и заказ'!B:B,$J409)="","",INDEX('Прайс и заказ'!B:B,$J409)))</f>
      </c>
      <c r="C409" s="64" t="str">
        <f>IF($J409=0,"",IF(INDEX('Прайс и заказ'!C:C,$J409)="","",INDEX('Прайс и заказ'!C:C,$J409)))</f>
      </c>
      <c r="D409" s="64" t="str">
        <f>IF($J409=0,"",IF(INDEX('Прайс и заказ'!D:D,$J409)="","",INDEX('Прайс и заказ'!D:D,$J409)))</f>
      </c>
      <c r="E409" s="61" t="str">
        <f>IF($J409=0,"",IF(INDEX('Прайс и заказ'!F:F,$J409)="","",INDEX('Прайс и заказ'!F:F,$J409)))</f>
      </c>
      <c r="F409" s="62" t="str">
        <f>IF($J409=0,"",IF(INDEX('Прайс и заказ'!I:I,$J409)="","",INDEX('Прайс и заказ'!I:I,$J409)))</f>
      </c>
      <c r="G409" s="63" t="str">
        <f>IF($J409=0,"",IF(INDEX('Прайс и заказ'!K:K,$J409)="","",INDEX('Прайс и заказ'!K:K,$J409)))</f>
      </c>
      <c r="H409" s="62" t="str">
        <f>IF($J409=0,"",IF(INDEX('Прайс и заказ'!L:L,$J409)="","",INDEX('Прайс и заказ'!L:L,$J409)))</f>
      </c>
      <c r="I409" s="13" t="str">
        <f>IF($J409=0,"",IF(INDEX('Прайс и заказ'!M:M,$J409)="","",INDEX('Прайс и заказ'!M:M,$J409)))</f>
      </c>
      <c r="J409" t="str">
        <f>IFERROR(MATCH(401,'Прайс и заказ'!$N$7:$N$435,0)+6,0)</f>
      </c>
    </row>
    <row r="410" spans="1:11" customHeight="1" ht="40">
      <c r="A410" s="13" t="str">
        <f>IF($J410=0,"",IFERROR(_xlfn.IMAGE(INDEX('Прайс и заказ'!$O:$O,$J410)),""))</f>
      </c>
      <c r="B410" s="61" t="str">
        <f>IF($J410=0,"",IF(INDEX('Прайс и заказ'!B:B,$J410)="","",INDEX('Прайс и заказ'!B:B,$J410)))</f>
      </c>
      <c r="C410" s="64" t="str">
        <f>IF($J410=0,"",IF(INDEX('Прайс и заказ'!C:C,$J410)="","",INDEX('Прайс и заказ'!C:C,$J410)))</f>
      </c>
      <c r="D410" s="64" t="str">
        <f>IF($J410=0,"",IF(INDEX('Прайс и заказ'!D:D,$J410)="","",INDEX('Прайс и заказ'!D:D,$J410)))</f>
      </c>
      <c r="E410" s="61" t="str">
        <f>IF($J410=0,"",IF(INDEX('Прайс и заказ'!F:F,$J410)="","",INDEX('Прайс и заказ'!F:F,$J410)))</f>
      </c>
      <c r="F410" s="62" t="str">
        <f>IF($J410=0,"",IF(INDEX('Прайс и заказ'!I:I,$J410)="","",INDEX('Прайс и заказ'!I:I,$J410)))</f>
      </c>
      <c r="G410" s="63" t="str">
        <f>IF($J410=0,"",IF(INDEX('Прайс и заказ'!K:K,$J410)="","",INDEX('Прайс и заказ'!K:K,$J410)))</f>
      </c>
      <c r="H410" s="62" t="str">
        <f>IF($J410=0,"",IF(INDEX('Прайс и заказ'!L:L,$J410)="","",INDEX('Прайс и заказ'!L:L,$J410)))</f>
      </c>
      <c r="I410" s="13" t="str">
        <f>IF($J410=0,"",IF(INDEX('Прайс и заказ'!M:M,$J410)="","",INDEX('Прайс и заказ'!M:M,$J410)))</f>
      </c>
      <c r="J410" t="str">
        <f>IFERROR(MATCH(402,'Прайс и заказ'!$N$7:$N$435,0)+6,0)</f>
      </c>
    </row>
    <row r="411" spans="1:11" customHeight="1" ht="40">
      <c r="A411" s="13" t="str">
        <f>IF($J411=0,"",IFERROR(_xlfn.IMAGE(INDEX('Прайс и заказ'!$O:$O,$J411)),""))</f>
      </c>
      <c r="B411" s="61" t="str">
        <f>IF($J411=0,"",IF(INDEX('Прайс и заказ'!B:B,$J411)="","",INDEX('Прайс и заказ'!B:B,$J411)))</f>
      </c>
      <c r="C411" s="64" t="str">
        <f>IF($J411=0,"",IF(INDEX('Прайс и заказ'!C:C,$J411)="","",INDEX('Прайс и заказ'!C:C,$J411)))</f>
      </c>
      <c r="D411" s="64" t="str">
        <f>IF($J411=0,"",IF(INDEX('Прайс и заказ'!D:D,$J411)="","",INDEX('Прайс и заказ'!D:D,$J411)))</f>
      </c>
      <c r="E411" s="61" t="str">
        <f>IF($J411=0,"",IF(INDEX('Прайс и заказ'!F:F,$J411)="","",INDEX('Прайс и заказ'!F:F,$J411)))</f>
      </c>
      <c r="F411" s="62" t="str">
        <f>IF($J411=0,"",IF(INDEX('Прайс и заказ'!I:I,$J411)="","",INDEX('Прайс и заказ'!I:I,$J411)))</f>
      </c>
      <c r="G411" s="63" t="str">
        <f>IF($J411=0,"",IF(INDEX('Прайс и заказ'!K:K,$J411)="","",INDEX('Прайс и заказ'!K:K,$J411)))</f>
      </c>
      <c r="H411" s="62" t="str">
        <f>IF($J411=0,"",IF(INDEX('Прайс и заказ'!L:L,$J411)="","",INDEX('Прайс и заказ'!L:L,$J411)))</f>
      </c>
      <c r="I411" s="13" t="str">
        <f>IF($J411=0,"",IF(INDEX('Прайс и заказ'!M:M,$J411)="","",INDEX('Прайс и заказ'!M:M,$J411)))</f>
      </c>
      <c r="J411" t="str">
        <f>IFERROR(MATCH(403,'Прайс и заказ'!$N$7:$N$435,0)+6,0)</f>
      </c>
    </row>
    <row r="412" spans="1:11" customHeight="1" ht="40">
      <c r="A412" s="13" t="str">
        <f>IF($J412=0,"",IFERROR(_xlfn.IMAGE(INDEX('Прайс и заказ'!$O:$O,$J412)),""))</f>
      </c>
      <c r="B412" s="61" t="str">
        <f>IF($J412=0,"",IF(INDEX('Прайс и заказ'!B:B,$J412)="","",INDEX('Прайс и заказ'!B:B,$J412)))</f>
      </c>
      <c r="C412" s="64" t="str">
        <f>IF($J412=0,"",IF(INDEX('Прайс и заказ'!C:C,$J412)="","",INDEX('Прайс и заказ'!C:C,$J412)))</f>
      </c>
      <c r="D412" s="64" t="str">
        <f>IF($J412=0,"",IF(INDEX('Прайс и заказ'!D:D,$J412)="","",INDEX('Прайс и заказ'!D:D,$J412)))</f>
      </c>
      <c r="E412" s="61" t="str">
        <f>IF($J412=0,"",IF(INDEX('Прайс и заказ'!F:F,$J412)="","",INDEX('Прайс и заказ'!F:F,$J412)))</f>
      </c>
      <c r="F412" s="62" t="str">
        <f>IF($J412=0,"",IF(INDEX('Прайс и заказ'!I:I,$J412)="","",INDEX('Прайс и заказ'!I:I,$J412)))</f>
      </c>
      <c r="G412" s="63" t="str">
        <f>IF($J412=0,"",IF(INDEX('Прайс и заказ'!K:K,$J412)="","",INDEX('Прайс и заказ'!K:K,$J412)))</f>
      </c>
      <c r="H412" s="62" t="str">
        <f>IF($J412=0,"",IF(INDEX('Прайс и заказ'!L:L,$J412)="","",INDEX('Прайс и заказ'!L:L,$J412)))</f>
      </c>
      <c r="I412" s="13" t="str">
        <f>IF($J412=0,"",IF(INDEX('Прайс и заказ'!M:M,$J412)="","",INDEX('Прайс и заказ'!M:M,$J412)))</f>
      </c>
      <c r="J412" t="str">
        <f>IFERROR(MATCH(404,'Прайс и заказ'!$N$7:$N$435,0)+6,0)</f>
      </c>
    </row>
    <row r="413" spans="1:11" customHeight="1" ht="40">
      <c r="A413" s="13" t="str">
        <f>IF($J413=0,"",IFERROR(_xlfn.IMAGE(INDEX('Прайс и заказ'!$O:$O,$J413)),""))</f>
      </c>
      <c r="B413" s="61" t="str">
        <f>IF($J413=0,"",IF(INDEX('Прайс и заказ'!B:B,$J413)="","",INDEX('Прайс и заказ'!B:B,$J413)))</f>
      </c>
      <c r="C413" s="64" t="str">
        <f>IF($J413=0,"",IF(INDEX('Прайс и заказ'!C:C,$J413)="","",INDEX('Прайс и заказ'!C:C,$J413)))</f>
      </c>
      <c r="D413" s="64" t="str">
        <f>IF($J413=0,"",IF(INDEX('Прайс и заказ'!D:D,$J413)="","",INDEX('Прайс и заказ'!D:D,$J413)))</f>
      </c>
      <c r="E413" s="61" t="str">
        <f>IF($J413=0,"",IF(INDEX('Прайс и заказ'!F:F,$J413)="","",INDEX('Прайс и заказ'!F:F,$J413)))</f>
      </c>
      <c r="F413" s="62" t="str">
        <f>IF($J413=0,"",IF(INDEX('Прайс и заказ'!I:I,$J413)="","",INDEX('Прайс и заказ'!I:I,$J413)))</f>
      </c>
      <c r="G413" s="63" t="str">
        <f>IF($J413=0,"",IF(INDEX('Прайс и заказ'!K:K,$J413)="","",INDEX('Прайс и заказ'!K:K,$J413)))</f>
      </c>
      <c r="H413" s="62" t="str">
        <f>IF($J413=0,"",IF(INDEX('Прайс и заказ'!L:L,$J413)="","",INDEX('Прайс и заказ'!L:L,$J413)))</f>
      </c>
      <c r="I413" s="13" t="str">
        <f>IF($J413=0,"",IF(INDEX('Прайс и заказ'!M:M,$J413)="","",INDEX('Прайс и заказ'!M:M,$J413)))</f>
      </c>
      <c r="J413" t="str">
        <f>IFERROR(MATCH(405,'Прайс и заказ'!$N$7:$N$435,0)+6,0)</f>
      </c>
    </row>
    <row r="414" spans="1:11" customHeight="1" ht="40">
      <c r="A414" s="13" t="str">
        <f>IF($J414=0,"",IFERROR(_xlfn.IMAGE(INDEX('Прайс и заказ'!$O:$O,$J414)),""))</f>
      </c>
      <c r="B414" s="61" t="str">
        <f>IF($J414=0,"",IF(INDEX('Прайс и заказ'!B:B,$J414)="","",INDEX('Прайс и заказ'!B:B,$J414)))</f>
      </c>
      <c r="C414" s="64" t="str">
        <f>IF($J414=0,"",IF(INDEX('Прайс и заказ'!C:C,$J414)="","",INDEX('Прайс и заказ'!C:C,$J414)))</f>
      </c>
      <c r="D414" s="64" t="str">
        <f>IF($J414=0,"",IF(INDEX('Прайс и заказ'!D:D,$J414)="","",INDEX('Прайс и заказ'!D:D,$J414)))</f>
      </c>
      <c r="E414" s="61" t="str">
        <f>IF($J414=0,"",IF(INDEX('Прайс и заказ'!F:F,$J414)="","",INDEX('Прайс и заказ'!F:F,$J414)))</f>
      </c>
      <c r="F414" s="62" t="str">
        <f>IF($J414=0,"",IF(INDEX('Прайс и заказ'!I:I,$J414)="","",INDEX('Прайс и заказ'!I:I,$J414)))</f>
      </c>
      <c r="G414" s="63" t="str">
        <f>IF($J414=0,"",IF(INDEX('Прайс и заказ'!K:K,$J414)="","",INDEX('Прайс и заказ'!K:K,$J414)))</f>
      </c>
      <c r="H414" s="62" t="str">
        <f>IF($J414=0,"",IF(INDEX('Прайс и заказ'!L:L,$J414)="","",INDEX('Прайс и заказ'!L:L,$J414)))</f>
      </c>
      <c r="I414" s="13" t="str">
        <f>IF($J414=0,"",IF(INDEX('Прайс и заказ'!M:M,$J414)="","",INDEX('Прайс и заказ'!M:M,$J414)))</f>
      </c>
      <c r="J414" t="str">
        <f>IFERROR(MATCH(406,'Прайс и заказ'!$N$7:$N$435,0)+6,0)</f>
      </c>
    </row>
    <row r="415" spans="1:11" customHeight="1" ht="40">
      <c r="A415" s="13" t="str">
        <f>IF($J415=0,"",IFERROR(_xlfn.IMAGE(INDEX('Прайс и заказ'!$O:$O,$J415)),""))</f>
      </c>
      <c r="B415" s="61" t="str">
        <f>IF($J415=0,"",IF(INDEX('Прайс и заказ'!B:B,$J415)="","",INDEX('Прайс и заказ'!B:B,$J415)))</f>
      </c>
      <c r="C415" s="64" t="str">
        <f>IF($J415=0,"",IF(INDEX('Прайс и заказ'!C:C,$J415)="","",INDEX('Прайс и заказ'!C:C,$J415)))</f>
      </c>
      <c r="D415" s="64" t="str">
        <f>IF($J415=0,"",IF(INDEX('Прайс и заказ'!D:D,$J415)="","",INDEX('Прайс и заказ'!D:D,$J415)))</f>
      </c>
      <c r="E415" s="61" t="str">
        <f>IF($J415=0,"",IF(INDEX('Прайс и заказ'!F:F,$J415)="","",INDEX('Прайс и заказ'!F:F,$J415)))</f>
      </c>
      <c r="F415" s="62" t="str">
        <f>IF($J415=0,"",IF(INDEX('Прайс и заказ'!I:I,$J415)="","",INDEX('Прайс и заказ'!I:I,$J415)))</f>
      </c>
      <c r="G415" s="63" t="str">
        <f>IF($J415=0,"",IF(INDEX('Прайс и заказ'!K:K,$J415)="","",INDEX('Прайс и заказ'!K:K,$J415)))</f>
      </c>
      <c r="H415" s="62" t="str">
        <f>IF($J415=0,"",IF(INDEX('Прайс и заказ'!L:L,$J415)="","",INDEX('Прайс и заказ'!L:L,$J415)))</f>
      </c>
      <c r="I415" s="13" t="str">
        <f>IF($J415=0,"",IF(INDEX('Прайс и заказ'!M:M,$J415)="","",INDEX('Прайс и заказ'!M:M,$J415)))</f>
      </c>
      <c r="J415" t="str">
        <f>IFERROR(MATCH(407,'Прайс и заказ'!$N$7:$N$435,0)+6,0)</f>
      </c>
    </row>
    <row r="416" spans="1:11" customHeight="1" ht="40">
      <c r="A416" s="13" t="str">
        <f>IF($J416=0,"",IFERROR(_xlfn.IMAGE(INDEX('Прайс и заказ'!$O:$O,$J416)),""))</f>
      </c>
      <c r="B416" s="61" t="str">
        <f>IF($J416=0,"",IF(INDEX('Прайс и заказ'!B:B,$J416)="","",INDEX('Прайс и заказ'!B:B,$J416)))</f>
      </c>
      <c r="C416" s="64" t="str">
        <f>IF($J416=0,"",IF(INDEX('Прайс и заказ'!C:C,$J416)="","",INDEX('Прайс и заказ'!C:C,$J416)))</f>
      </c>
      <c r="D416" s="64" t="str">
        <f>IF($J416=0,"",IF(INDEX('Прайс и заказ'!D:D,$J416)="","",INDEX('Прайс и заказ'!D:D,$J416)))</f>
      </c>
      <c r="E416" s="61" t="str">
        <f>IF($J416=0,"",IF(INDEX('Прайс и заказ'!F:F,$J416)="","",INDEX('Прайс и заказ'!F:F,$J416)))</f>
      </c>
      <c r="F416" s="62" t="str">
        <f>IF($J416=0,"",IF(INDEX('Прайс и заказ'!I:I,$J416)="","",INDEX('Прайс и заказ'!I:I,$J416)))</f>
      </c>
      <c r="G416" s="63" t="str">
        <f>IF($J416=0,"",IF(INDEX('Прайс и заказ'!K:K,$J416)="","",INDEX('Прайс и заказ'!K:K,$J416)))</f>
      </c>
      <c r="H416" s="62" t="str">
        <f>IF($J416=0,"",IF(INDEX('Прайс и заказ'!L:L,$J416)="","",INDEX('Прайс и заказ'!L:L,$J416)))</f>
      </c>
      <c r="I416" s="13" t="str">
        <f>IF($J416=0,"",IF(INDEX('Прайс и заказ'!M:M,$J416)="","",INDEX('Прайс и заказ'!M:M,$J416)))</f>
      </c>
      <c r="J416" t="str">
        <f>IFERROR(MATCH(408,'Прайс и заказ'!$N$7:$N$435,0)+6,0)</f>
      </c>
    </row>
    <row r="417" spans="1:11" customHeight="1" ht="40">
      <c r="A417" s="13" t="str">
        <f>IF($J417=0,"",IFERROR(_xlfn.IMAGE(INDEX('Прайс и заказ'!$O:$O,$J417)),""))</f>
      </c>
      <c r="B417" s="61" t="str">
        <f>IF($J417=0,"",IF(INDEX('Прайс и заказ'!B:B,$J417)="","",INDEX('Прайс и заказ'!B:B,$J417)))</f>
      </c>
      <c r="C417" s="64" t="str">
        <f>IF($J417=0,"",IF(INDEX('Прайс и заказ'!C:C,$J417)="","",INDEX('Прайс и заказ'!C:C,$J417)))</f>
      </c>
      <c r="D417" s="64" t="str">
        <f>IF($J417=0,"",IF(INDEX('Прайс и заказ'!D:D,$J417)="","",INDEX('Прайс и заказ'!D:D,$J417)))</f>
      </c>
      <c r="E417" s="61" t="str">
        <f>IF($J417=0,"",IF(INDEX('Прайс и заказ'!F:F,$J417)="","",INDEX('Прайс и заказ'!F:F,$J417)))</f>
      </c>
      <c r="F417" s="62" t="str">
        <f>IF($J417=0,"",IF(INDEX('Прайс и заказ'!I:I,$J417)="","",INDEX('Прайс и заказ'!I:I,$J417)))</f>
      </c>
      <c r="G417" s="63" t="str">
        <f>IF($J417=0,"",IF(INDEX('Прайс и заказ'!K:K,$J417)="","",INDEX('Прайс и заказ'!K:K,$J417)))</f>
      </c>
      <c r="H417" s="62" t="str">
        <f>IF($J417=0,"",IF(INDEX('Прайс и заказ'!L:L,$J417)="","",INDEX('Прайс и заказ'!L:L,$J417)))</f>
      </c>
      <c r="I417" s="13" t="str">
        <f>IF($J417=0,"",IF(INDEX('Прайс и заказ'!M:M,$J417)="","",INDEX('Прайс и заказ'!M:M,$J417)))</f>
      </c>
      <c r="J417" t="str">
        <f>IFERROR(MATCH(409,'Прайс и заказ'!$N$7:$N$435,0)+6,0)</f>
      </c>
    </row>
    <row r="418" spans="1:11" customHeight="1" ht="40">
      <c r="A418" s="13" t="str">
        <f>IF($J418=0,"",IFERROR(_xlfn.IMAGE(INDEX('Прайс и заказ'!$O:$O,$J418)),""))</f>
      </c>
      <c r="B418" s="61" t="str">
        <f>IF($J418=0,"",IF(INDEX('Прайс и заказ'!B:B,$J418)="","",INDEX('Прайс и заказ'!B:B,$J418)))</f>
      </c>
      <c r="C418" s="64" t="str">
        <f>IF($J418=0,"",IF(INDEX('Прайс и заказ'!C:C,$J418)="","",INDEX('Прайс и заказ'!C:C,$J418)))</f>
      </c>
      <c r="D418" s="64" t="str">
        <f>IF($J418=0,"",IF(INDEX('Прайс и заказ'!D:D,$J418)="","",INDEX('Прайс и заказ'!D:D,$J418)))</f>
      </c>
      <c r="E418" s="61" t="str">
        <f>IF($J418=0,"",IF(INDEX('Прайс и заказ'!F:F,$J418)="","",INDEX('Прайс и заказ'!F:F,$J418)))</f>
      </c>
      <c r="F418" s="62" t="str">
        <f>IF($J418=0,"",IF(INDEX('Прайс и заказ'!I:I,$J418)="","",INDEX('Прайс и заказ'!I:I,$J418)))</f>
      </c>
      <c r="G418" s="63" t="str">
        <f>IF($J418=0,"",IF(INDEX('Прайс и заказ'!K:K,$J418)="","",INDEX('Прайс и заказ'!K:K,$J418)))</f>
      </c>
      <c r="H418" s="62" t="str">
        <f>IF($J418=0,"",IF(INDEX('Прайс и заказ'!L:L,$J418)="","",INDEX('Прайс и заказ'!L:L,$J418)))</f>
      </c>
      <c r="I418" s="13" t="str">
        <f>IF($J418=0,"",IF(INDEX('Прайс и заказ'!M:M,$J418)="","",INDEX('Прайс и заказ'!M:M,$J418)))</f>
      </c>
      <c r="J418" t="str">
        <f>IFERROR(MATCH(410,'Прайс и заказ'!$N$7:$N$435,0)+6,0)</f>
      </c>
    </row>
    <row r="419" spans="1:11" customHeight="1" ht="40">
      <c r="A419" s="13" t="str">
        <f>IF($J419=0,"",IFERROR(_xlfn.IMAGE(INDEX('Прайс и заказ'!$O:$O,$J419)),""))</f>
      </c>
      <c r="B419" s="61" t="str">
        <f>IF($J419=0,"",IF(INDEX('Прайс и заказ'!B:B,$J419)="","",INDEX('Прайс и заказ'!B:B,$J419)))</f>
      </c>
      <c r="C419" s="64" t="str">
        <f>IF($J419=0,"",IF(INDEX('Прайс и заказ'!C:C,$J419)="","",INDEX('Прайс и заказ'!C:C,$J419)))</f>
      </c>
      <c r="D419" s="64" t="str">
        <f>IF($J419=0,"",IF(INDEX('Прайс и заказ'!D:D,$J419)="","",INDEX('Прайс и заказ'!D:D,$J419)))</f>
      </c>
      <c r="E419" s="61" t="str">
        <f>IF($J419=0,"",IF(INDEX('Прайс и заказ'!F:F,$J419)="","",INDEX('Прайс и заказ'!F:F,$J419)))</f>
      </c>
      <c r="F419" s="62" t="str">
        <f>IF($J419=0,"",IF(INDEX('Прайс и заказ'!I:I,$J419)="","",INDEX('Прайс и заказ'!I:I,$J419)))</f>
      </c>
      <c r="G419" s="63" t="str">
        <f>IF($J419=0,"",IF(INDEX('Прайс и заказ'!K:K,$J419)="","",INDEX('Прайс и заказ'!K:K,$J419)))</f>
      </c>
      <c r="H419" s="62" t="str">
        <f>IF($J419=0,"",IF(INDEX('Прайс и заказ'!L:L,$J419)="","",INDEX('Прайс и заказ'!L:L,$J419)))</f>
      </c>
      <c r="I419" s="13" t="str">
        <f>IF($J419=0,"",IF(INDEX('Прайс и заказ'!M:M,$J419)="","",INDEX('Прайс и заказ'!M:M,$J419)))</f>
      </c>
      <c r="J419" t="str">
        <f>IFERROR(MATCH(411,'Прайс и заказ'!$N$7:$N$435,0)+6,0)</f>
      </c>
    </row>
    <row r="420" spans="1:11" customHeight="1" ht="40">
      <c r="A420" s="13" t="str">
        <f>IF($J420=0,"",IFERROR(_xlfn.IMAGE(INDEX('Прайс и заказ'!$O:$O,$J420)),""))</f>
      </c>
      <c r="B420" s="61" t="str">
        <f>IF($J420=0,"",IF(INDEX('Прайс и заказ'!B:B,$J420)="","",INDEX('Прайс и заказ'!B:B,$J420)))</f>
      </c>
      <c r="C420" s="64" t="str">
        <f>IF($J420=0,"",IF(INDEX('Прайс и заказ'!C:C,$J420)="","",INDEX('Прайс и заказ'!C:C,$J420)))</f>
      </c>
      <c r="D420" s="64" t="str">
        <f>IF($J420=0,"",IF(INDEX('Прайс и заказ'!D:D,$J420)="","",INDEX('Прайс и заказ'!D:D,$J420)))</f>
      </c>
      <c r="E420" s="61" t="str">
        <f>IF($J420=0,"",IF(INDEX('Прайс и заказ'!F:F,$J420)="","",INDEX('Прайс и заказ'!F:F,$J420)))</f>
      </c>
      <c r="F420" s="62" t="str">
        <f>IF($J420=0,"",IF(INDEX('Прайс и заказ'!I:I,$J420)="","",INDEX('Прайс и заказ'!I:I,$J420)))</f>
      </c>
      <c r="G420" s="63" t="str">
        <f>IF($J420=0,"",IF(INDEX('Прайс и заказ'!K:K,$J420)="","",INDEX('Прайс и заказ'!K:K,$J420)))</f>
      </c>
      <c r="H420" s="62" t="str">
        <f>IF($J420=0,"",IF(INDEX('Прайс и заказ'!L:L,$J420)="","",INDEX('Прайс и заказ'!L:L,$J420)))</f>
      </c>
      <c r="I420" s="13" t="str">
        <f>IF($J420=0,"",IF(INDEX('Прайс и заказ'!M:M,$J420)="","",INDEX('Прайс и заказ'!M:M,$J420)))</f>
      </c>
      <c r="J420" t="str">
        <f>IFERROR(MATCH(412,'Прайс и заказ'!$N$7:$N$435,0)+6,0)</f>
      </c>
    </row>
    <row r="421" spans="1:11" customHeight="1" ht="40">
      <c r="A421" s="13" t="str">
        <f>IF($J421=0,"",IFERROR(_xlfn.IMAGE(INDEX('Прайс и заказ'!$O:$O,$J421)),""))</f>
      </c>
      <c r="B421" s="61" t="str">
        <f>IF($J421=0,"",IF(INDEX('Прайс и заказ'!B:B,$J421)="","",INDEX('Прайс и заказ'!B:B,$J421)))</f>
      </c>
      <c r="C421" s="64" t="str">
        <f>IF($J421=0,"",IF(INDEX('Прайс и заказ'!C:C,$J421)="","",INDEX('Прайс и заказ'!C:C,$J421)))</f>
      </c>
      <c r="D421" s="64" t="str">
        <f>IF($J421=0,"",IF(INDEX('Прайс и заказ'!D:D,$J421)="","",INDEX('Прайс и заказ'!D:D,$J421)))</f>
      </c>
      <c r="E421" s="61" t="str">
        <f>IF($J421=0,"",IF(INDEX('Прайс и заказ'!F:F,$J421)="","",INDEX('Прайс и заказ'!F:F,$J421)))</f>
      </c>
      <c r="F421" s="62" t="str">
        <f>IF($J421=0,"",IF(INDEX('Прайс и заказ'!I:I,$J421)="","",INDEX('Прайс и заказ'!I:I,$J421)))</f>
      </c>
      <c r="G421" s="63" t="str">
        <f>IF($J421=0,"",IF(INDEX('Прайс и заказ'!K:K,$J421)="","",INDEX('Прайс и заказ'!K:K,$J421)))</f>
      </c>
      <c r="H421" s="62" t="str">
        <f>IF($J421=0,"",IF(INDEX('Прайс и заказ'!L:L,$J421)="","",INDEX('Прайс и заказ'!L:L,$J421)))</f>
      </c>
      <c r="I421" s="13" t="str">
        <f>IF($J421=0,"",IF(INDEX('Прайс и заказ'!M:M,$J421)="","",INDEX('Прайс и заказ'!M:M,$J421)))</f>
      </c>
      <c r="J421" t="str">
        <f>IFERROR(MATCH(413,'Прайс и заказ'!$N$7:$N$435,0)+6,0)</f>
      </c>
    </row>
    <row r="422" spans="1:11" customHeight="1" ht="40">
      <c r="A422" s="13" t="str">
        <f>IF($J422=0,"",IFERROR(_xlfn.IMAGE(INDEX('Прайс и заказ'!$O:$O,$J422)),""))</f>
      </c>
      <c r="B422" s="61" t="str">
        <f>IF($J422=0,"",IF(INDEX('Прайс и заказ'!B:B,$J422)="","",INDEX('Прайс и заказ'!B:B,$J422)))</f>
      </c>
      <c r="C422" s="64" t="str">
        <f>IF($J422=0,"",IF(INDEX('Прайс и заказ'!C:C,$J422)="","",INDEX('Прайс и заказ'!C:C,$J422)))</f>
      </c>
      <c r="D422" s="64" t="str">
        <f>IF($J422=0,"",IF(INDEX('Прайс и заказ'!D:D,$J422)="","",INDEX('Прайс и заказ'!D:D,$J422)))</f>
      </c>
      <c r="E422" s="61" t="str">
        <f>IF($J422=0,"",IF(INDEX('Прайс и заказ'!F:F,$J422)="","",INDEX('Прайс и заказ'!F:F,$J422)))</f>
      </c>
      <c r="F422" s="62" t="str">
        <f>IF($J422=0,"",IF(INDEX('Прайс и заказ'!I:I,$J422)="","",INDEX('Прайс и заказ'!I:I,$J422)))</f>
      </c>
      <c r="G422" s="63" t="str">
        <f>IF($J422=0,"",IF(INDEX('Прайс и заказ'!K:K,$J422)="","",INDEX('Прайс и заказ'!K:K,$J422)))</f>
      </c>
      <c r="H422" s="62" t="str">
        <f>IF($J422=0,"",IF(INDEX('Прайс и заказ'!L:L,$J422)="","",INDEX('Прайс и заказ'!L:L,$J422)))</f>
      </c>
      <c r="I422" s="13" t="str">
        <f>IF($J422=0,"",IF(INDEX('Прайс и заказ'!M:M,$J422)="","",INDEX('Прайс и заказ'!M:M,$J422)))</f>
      </c>
      <c r="J422" t="str">
        <f>IFERROR(MATCH(414,'Прайс и заказ'!$N$7:$N$435,0)+6,0)</f>
      </c>
    </row>
    <row r="423" spans="1:11" customHeight="1" ht="40">
      <c r="A423" s="13" t="str">
        <f>IF($J423=0,"",IFERROR(_xlfn.IMAGE(INDEX('Прайс и заказ'!$O:$O,$J423)),""))</f>
      </c>
      <c r="B423" s="61" t="str">
        <f>IF($J423=0,"",IF(INDEX('Прайс и заказ'!B:B,$J423)="","",INDEX('Прайс и заказ'!B:B,$J423)))</f>
      </c>
      <c r="C423" s="64" t="str">
        <f>IF($J423=0,"",IF(INDEX('Прайс и заказ'!C:C,$J423)="","",INDEX('Прайс и заказ'!C:C,$J423)))</f>
      </c>
      <c r="D423" s="64" t="str">
        <f>IF($J423=0,"",IF(INDEX('Прайс и заказ'!D:D,$J423)="","",INDEX('Прайс и заказ'!D:D,$J423)))</f>
      </c>
      <c r="E423" s="61" t="str">
        <f>IF($J423=0,"",IF(INDEX('Прайс и заказ'!F:F,$J423)="","",INDEX('Прайс и заказ'!F:F,$J423)))</f>
      </c>
      <c r="F423" s="62" t="str">
        <f>IF($J423=0,"",IF(INDEX('Прайс и заказ'!I:I,$J423)="","",INDEX('Прайс и заказ'!I:I,$J423)))</f>
      </c>
      <c r="G423" s="63" t="str">
        <f>IF($J423=0,"",IF(INDEX('Прайс и заказ'!K:K,$J423)="","",INDEX('Прайс и заказ'!K:K,$J423)))</f>
      </c>
      <c r="H423" s="62" t="str">
        <f>IF($J423=0,"",IF(INDEX('Прайс и заказ'!L:L,$J423)="","",INDEX('Прайс и заказ'!L:L,$J423)))</f>
      </c>
      <c r="I423" s="13" t="str">
        <f>IF($J423=0,"",IF(INDEX('Прайс и заказ'!M:M,$J423)="","",INDEX('Прайс и заказ'!M:M,$J423)))</f>
      </c>
      <c r="J423" t="str">
        <f>IFERROR(MATCH(415,'Прайс и заказ'!$N$7:$N$435,0)+6,0)</f>
      </c>
    </row>
    <row r="424" spans="1:11" customHeight="1" ht="40">
      <c r="A424" s="13" t="str">
        <f>IF($J424=0,"",IFERROR(_xlfn.IMAGE(INDEX('Прайс и заказ'!$O:$O,$J424)),""))</f>
      </c>
      <c r="B424" s="61" t="str">
        <f>IF($J424=0,"",IF(INDEX('Прайс и заказ'!B:B,$J424)="","",INDEX('Прайс и заказ'!B:B,$J424)))</f>
      </c>
      <c r="C424" s="64" t="str">
        <f>IF($J424=0,"",IF(INDEX('Прайс и заказ'!C:C,$J424)="","",INDEX('Прайс и заказ'!C:C,$J424)))</f>
      </c>
      <c r="D424" s="64" t="str">
        <f>IF($J424=0,"",IF(INDEX('Прайс и заказ'!D:D,$J424)="","",INDEX('Прайс и заказ'!D:D,$J424)))</f>
      </c>
      <c r="E424" s="61" t="str">
        <f>IF($J424=0,"",IF(INDEX('Прайс и заказ'!F:F,$J424)="","",INDEX('Прайс и заказ'!F:F,$J424)))</f>
      </c>
      <c r="F424" s="62" t="str">
        <f>IF($J424=0,"",IF(INDEX('Прайс и заказ'!I:I,$J424)="","",INDEX('Прайс и заказ'!I:I,$J424)))</f>
      </c>
      <c r="G424" s="63" t="str">
        <f>IF($J424=0,"",IF(INDEX('Прайс и заказ'!K:K,$J424)="","",INDEX('Прайс и заказ'!K:K,$J424)))</f>
      </c>
      <c r="H424" s="62" t="str">
        <f>IF($J424=0,"",IF(INDEX('Прайс и заказ'!L:L,$J424)="","",INDEX('Прайс и заказ'!L:L,$J424)))</f>
      </c>
      <c r="I424" s="13" t="str">
        <f>IF($J424=0,"",IF(INDEX('Прайс и заказ'!M:M,$J424)="","",INDEX('Прайс и заказ'!M:M,$J424)))</f>
      </c>
      <c r="J424" t="str">
        <f>IFERROR(MATCH(416,'Прайс и заказ'!$N$7:$N$435,0)+6,0)</f>
      </c>
    </row>
    <row r="425" spans="1:11" customHeight="1" ht="40">
      <c r="A425" s="13" t="str">
        <f>IF($J425=0,"",IFERROR(_xlfn.IMAGE(INDEX('Прайс и заказ'!$O:$O,$J425)),""))</f>
      </c>
      <c r="B425" s="61" t="str">
        <f>IF($J425=0,"",IF(INDEX('Прайс и заказ'!B:B,$J425)="","",INDEX('Прайс и заказ'!B:B,$J425)))</f>
      </c>
      <c r="C425" s="64" t="str">
        <f>IF($J425=0,"",IF(INDEX('Прайс и заказ'!C:C,$J425)="","",INDEX('Прайс и заказ'!C:C,$J425)))</f>
      </c>
      <c r="D425" s="64" t="str">
        <f>IF($J425=0,"",IF(INDEX('Прайс и заказ'!D:D,$J425)="","",INDEX('Прайс и заказ'!D:D,$J425)))</f>
      </c>
      <c r="E425" s="61" t="str">
        <f>IF($J425=0,"",IF(INDEX('Прайс и заказ'!F:F,$J425)="","",INDEX('Прайс и заказ'!F:F,$J425)))</f>
      </c>
      <c r="F425" s="62" t="str">
        <f>IF($J425=0,"",IF(INDEX('Прайс и заказ'!I:I,$J425)="","",INDEX('Прайс и заказ'!I:I,$J425)))</f>
      </c>
      <c r="G425" s="63" t="str">
        <f>IF($J425=0,"",IF(INDEX('Прайс и заказ'!K:K,$J425)="","",INDEX('Прайс и заказ'!K:K,$J425)))</f>
      </c>
      <c r="H425" s="62" t="str">
        <f>IF($J425=0,"",IF(INDEX('Прайс и заказ'!L:L,$J425)="","",INDEX('Прайс и заказ'!L:L,$J425)))</f>
      </c>
      <c r="I425" s="13" t="str">
        <f>IF($J425=0,"",IF(INDEX('Прайс и заказ'!M:M,$J425)="","",INDEX('Прайс и заказ'!M:M,$J425)))</f>
      </c>
      <c r="J425" t="str">
        <f>IFERROR(MATCH(417,'Прайс и заказ'!$N$7:$N$435,0)+6,0)</f>
      </c>
    </row>
    <row r="426" spans="1:11" customHeight="1" ht="40">
      <c r="A426" s="13" t="str">
        <f>IF($J426=0,"",IFERROR(_xlfn.IMAGE(INDEX('Прайс и заказ'!$O:$O,$J426)),""))</f>
      </c>
      <c r="B426" s="61" t="str">
        <f>IF($J426=0,"",IF(INDEX('Прайс и заказ'!B:B,$J426)="","",INDEX('Прайс и заказ'!B:B,$J426)))</f>
      </c>
      <c r="C426" s="64" t="str">
        <f>IF($J426=0,"",IF(INDEX('Прайс и заказ'!C:C,$J426)="","",INDEX('Прайс и заказ'!C:C,$J426)))</f>
      </c>
      <c r="D426" s="64" t="str">
        <f>IF($J426=0,"",IF(INDEX('Прайс и заказ'!D:D,$J426)="","",INDEX('Прайс и заказ'!D:D,$J426)))</f>
      </c>
      <c r="E426" s="61" t="str">
        <f>IF($J426=0,"",IF(INDEX('Прайс и заказ'!F:F,$J426)="","",INDEX('Прайс и заказ'!F:F,$J426)))</f>
      </c>
      <c r="F426" s="62" t="str">
        <f>IF($J426=0,"",IF(INDEX('Прайс и заказ'!I:I,$J426)="","",INDEX('Прайс и заказ'!I:I,$J426)))</f>
      </c>
      <c r="G426" s="63" t="str">
        <f>IF($J426=0,"",IF(INDEX('Прайс и заказ'!K:K,$J426)="","",INDEX('Прайс и заказ'!K:K,$J426)))</f>
      </c>
      <c r="H426" s="62" t="str">
        <f>IF($J426=0,"",IF(INDEX('Прайс и заказ'!L:L,$J426)="","",INDEX('Прайс и заказ'!L:L,$J426)))</f>
      </c>
      <c r="I426" s="13" t="str">
        <f>IF($J426=0,"",IF(INDEX('Прайс и заказ'!M:M,$J426)="","",INDEX('Прайс и заказ'!M:M,$J426)))</f>
      </c>
      <c r="J426" t="str">
        <f>IFERROR(MATCH(418,'Прайс и заказ'!$N$7:$N$435,0)+6,0)</f>
      </c>
    </row>
    <row r="427" spans="1:11" customHeight="1" ht="40">
      <c r="A427" s="13" t="str">
        <f>IF($J427=0,"",IFERROR(_xlfn.IMAGE(INDEX('Прайс и заказ'!$O:$O,$J427)),""))</f>
      </c>
      <c r="B427" s="61" t="str">
        <f>IF($J427=0,"",IF(INDEX('Прайс и заказ'!B:B,$J427)="","",INDEX('Прайс и заказ'!B:B,$J427)))</f>
      </c>
      <c r="C427" s="64" t="str">
        <f>IF($J427=0,"",IF(INDEX('Прайс и заказ'!C:C,$J427)="","",INDEX('Прайс и заказ'!C:C,$J427)))</f>
      </c>
      <c r="D427" s="64" t="str">
        <f>IF($J427=0,"",IF(INDEX('Прайс и заказ'!D:D,$J427)="","",INDEX('Прайс и заказ'!D:D,$J427)))</f>
      </c>
      <c r="E427" s="61" t="str">
        <f>IF($J427=0,"",IF(INDEX('Прайс и заказ'!F:F,$J427)="","",INDEX('Прайс и заказ'!F:F,$J427)))</f>
      </c>
      <c r="F427" s="62" t="str">
        <f>IF($J427=0,"",IF(INDEX('Прайс и заказ'!I:I,$J427)="","",INDEX('Прайс и заказ'!I:I,$J427)))</f>
      </c>
      <c r="G427" s="63" t="str">
        <f>IF($J427=0,"",IF(INDEX('Прайс и заказ'!K:K,$J427)="","",INDEX('Прайс и заказ'!K:K,$J427)))</f>
      </c>
      <c r="H427" s="62" t="str">
        <f>IF($J427=0,"",IF(INDEX('Прайс и заказ'!L:L,$J427)="","",INDEX('Прайс и заказ'!L:L,$J427)))</f>
      </c>
      <c r="I427" s="13" t="str">
        <f>IF($J427=0,"",IF(INDEX('Прайс и заказ'!M:M,$J427)="","",INDEX('Прайс и заказ'!M:M,$J427)))</f>
      </c>
      <c r="J427" t="str">
        <f>IFERROR(MATCH(419,'Прайс и заказ'!$N$7:$N$435,0)+6,0)</f>
      </c>
    </row>
    <row r="428" spans="1:11" customHeight="1" ht="40">
      <c r="A428" s="13" t="str">
        <f>IF($J428=0,"",IFERROR(_xlfn.IMAGE(INDEX('Прайс и заказ'!$O:$O,$J428)),""))</f>
      </c>
      <c r="B428" s="61" t="str">
        <f>IF($J428=0,"",IF(INDEX('Прайс и заказ'!B:B,$J428)="","",INDEX('Прайс и заказ'!B:B,$J428)))</f>
      </c>
      <c r="C428" s="64" t="str">
        <f>IF($J428=0,"",IF(INDEX('Прайс и заказ'!C:C,$J428)="","",INDEX('Прайс и заказ'!C:C,$J428)))</f>
      </c>
      <c r="D428" s="64" t="str">
        <f>IF($J428=0,"",IF(INDEX('Прайс и заказ'!D:D,$J428)="","",INDEX('Прайс и заказ'!D:D,$J428)))</f>
      </c>
      <c r="E428" s="61" t="str">
        <f>IF($J428=0,"",IF(INDEX('Прайс и заказ'!F:F,$J428)="","",INDEX('Прайс и заказ'!F:F,$J428)))</f>
      </c>
      <c r="F428" s="62" t="str">
        <f>IF($J428=0,"",IF(INDEX('Прайс и заказ'!I:I,$J428)="","",INDEX('Прайс и заказ'!I:I,$J428)))</f>
      </c>
      <c r="G428" s="63" t="str">
        <f>IF($J428=0,"",IF(INDEX('Прайс и заказ'!K:K,$J428)="","",INDEX('Прайс и заказ'!K:K,$J428)))</f>
      </c>
      <c r="H428" s="62" t="str">
        <f>IF($J428=0,"",IF(INDEX('Прайс и заказ'!L:L,$J428)="","",INDEX('Прайс и заказ'!L:L,$J428)))</f>
      </c>
      <c r="I428" s="13" t="str">
        <f>IF($J428=0,"",IF(INDEX('Прайс и заказ'!M:M,$J428)="","",INDEX('Прайс и заказ'!M:M,$J428)))</f>
      </c>
      <c r="J428" t="str">
        <f>IFERROR(MATCH(420,'Прайс и заказ'!$N$7:$N$435,0)+6,0)</f>
      </c>
    </row>
    <row r="429" spans="1:11" customHeight="1" ht="40">
      <c r="A429" s="13" t="str">
        <f>IF($J429=0,"",IFERROR(_xlfn.IMAGE(INDEX('Прайс и заказ'!$O:$O,$J429)),""))</f>
      </c>
      <c r="B429" s="61" t="str">
        <f>IF($J429=0,"",IF(INDEX('Прайс и заказ'!B:B,$J429)="","",INDEX('Прайс и заказ'!B:B,$J429)))</f>
      </c>
      <c r="C429" s="64" t="str">
        <f>IF($J429=0,"",IF(INDEX('Прайс и заказ'!C:C,$J429)="","",INDEX('Прайс и заказ'!C:C,$J429)))</f>
      </c>
      <c r="D429" s="64" t="str">
        <f>IF($J429=0,"",IF(INDEX('Прайс и заказ'!D:D,$J429)="","",INDEX('Прайс и заказ'!D:D,$J429)))</f>
      </c>
      <c r="E429" s="61" t="str">
        <f>IF($J429=0,"",IF(INDEX('Прайс и заказ'!F:F,$J429)="","",INDEX('Прайс и заказ'!F:F,$J429)))</f>
      </c>
      <c r="F429" s="62" t="str">
        <f>IF($J429=0,"",IF(INDEX('Прайс и заказ'!I:I,$J429)="","",INDEX('Прайс и заказ'!I:I,$J429)))</f>
      </c>
      <c r="G429" s="63" t="str">
        <f>IF($J429=0,"",IF(INDEX('Прайс и заказ'!K:K,$J429)="","",INDEX('Прайс и заказ'!K:K,$J429)))</f>
      </c>
      <c r="H429" s="62" t="str">
        <f>IF($J429=0,"",IF(INDEX('Прайс и заказ'!L:L,$J429)="","",INDEX('Прайс и заказ'!L:L,$J429)))</f>
      </c>
      <c r="I429" s="13" t="str">
        <f>IF($J429=0,"",IF(INDEX('Прайс и заказ'!M:M,$J429)="","",INDEX('Прайс и заказ'!M:M,$J429)))</f>
      </c>
      <c r="J429" t="str">
        <f>IFERROR(MATCH(421,'Прайс и заказ'!$N$7:$N$435,0)+6,0)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429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Прайс и заказ</vt:lpstr>
      <vt:lpstr>Ваш заказ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2026-09-21T13:37:29+04:00</dcterms:created>
  <dcterms:modified xsi:type="dcterms:W3CDTF">2026-09-21T13:37:29+04:00</dcterms:modified>
  <dc:title>Прайс-лист LavrPack — Ленты</dc:title>
  <dc:description>Сформировано на www.test.lavrpack.ru 21.09.2026 13:37</dc:description>
  <dc:subject/>
  <cp:keywords/>
  <cp:category/>
</cp:coreProperties>
</file>