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<sst xmlns="http://schemas.openxmlformats.org/spreadsheetml/2006/main" uniqueCount="2324">
  <si>
    <t xml:space="preserve">   ·   Прайс-лист «Пленка» · 22.09.2026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</si>
  <si>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</si>
  <si>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</si>
  <si>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</si>
  <si>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</si>
  <si>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</si>
  <si>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</si>
  <si>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22.09.2026 15:17</t>
  </si>
  <si>
    <t>Категория</t>
  </si>
  <si>
    <t>Пленка</t>
  </si>
  <si>
    <t>Источник</t>
  </si>
  <si>
    <t>https://www.test.lavrpack.ru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</si>
  <si>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</si>
  <si>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www.test.lavrpack.ru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</si>
  <si>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</si>
  <si>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</si>
  <si>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</si>
  <si>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</si>
  <si>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</si>
  <si>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</si>
  <si>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</si>
  <si>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Розница, с НДС</t>
  </si>
  <si>
    <t>Опт, с НДС</t>
  </si>
  <si>
    <t>В наличии</t>
  </si>
  <si>
    <t>Заказать</t>
  </si>
  <si>
    <t>Сумма</t>
  </si>
  <si>
    <t>Рулоны · Матовая — 500 поз.</t>
  </si>
  <si>
    <t>16192b64-ab7f-11ed-ba70-00e01a6800eb#c00313dc-d19b-11ef-ab3c-22344d083d2c</t>
  </si>
  <si>
    <t>78621</t>
  </si>
  <si>
    <t>Европейская изысканная пленка</t>
  </si>
  <si>
    <t>Черный/Слива</t>
  </si>
  <si>
    <t>58см×10м,</t>
  </si>
  <si>
    <t>https://www.test.lavrpack.ru/local/templates/phoenix_v1/images_cache/thumbs/0b1ccb1522684239451a6e8af639f587.webp?v=1789992962</t>
  </si>
  <si>
    <t>16192b64-ab7f-11ed-ba70-00e01a6800eb#2c48be53-ab7f-11ed-ba70-00e01a6800eb</t>
  </si>
  <si>
    <t>Черный/Бордовый</t>
  </si>
  <si>
    <t>https://www.test.lavrpack.ru/local/templates/phoenix_v1/images_cache/thumbs/bc5815afae26548b642a8da5a6f616d2.webp?v=1789992962</t>
  </si>
  <si>
    <t>16192b64-ab7f-11ed-ba70-00e01a6800eb#4bc7e331-d19b-11ef-ab3c-22344d083d2c</t>
  </si>
  <si>
    <t>Черный/Белый</t>
  </si>
  <si>
    <t>https://www.test.lavrpack.ru/local/templates/phoenix_v1/images_cache/thumbs/1c4f7bc4512ae32c0d88a0f4b843df62.webp?v=1789992962</t>
  </si>
  <si>
    <t>16192b64-ab7f-11ed-ba70-00e01a6800eb#3fc8e1ea-ab80-11ed-ba70-00e01a6800eb</t>
  </si>
  <si>
    <t>Зеленая бирюза/Медный</t>
  </si>
  <si>
    <t>https://www.test.lavrpack.ru/local/templates/phoenix_v1/images_cache/thumbs/0ce8a1609c105283d3388ab9d9fe7f42.webp?v=1789992962</t>
  </si>
  <si>
    <t>16192b64-ab7f-11ed-ba70-00e01a6800eb#6499a2b3-d19b-11ef-ab3c-22344d083d2c</t>
  </si>
  <si>
    <t>Темно-красный/Красный</t>
  </si>
  <si>
    <t>https://www.test.lavrpack.ru/local/templates/phoenix_v1/images_cache/thumbs/b6a8fe682968449c0b4ee83622c50245.webp?v=1789992962</t>
  </si>
  <si>
    <t>63711ba7-ac4a-11ed-ba70-00e01a6800eb#e0e697bd-ce48-11ef-ab3c-22344d083d2c</t>
  </si>
  <si>
    <t>78642</t>
  </si>
  <si>
    <t>Корейская пленка "Первая любовь"</t>
  </si>
  <si>
    <t>Хаки (16)</t>
  </si>
  <si>
    <t>https://www.test.lavrpack.ru/local/templates/phoenix_v1/images_cache/thumbs/599fd47226db6a47c3c5ec0b730a1c38.webp?v=1789992962</t>
  </si>
  <si>
    <t>63711ba7-ac4a-11ed-ba70-00e01a6800eb#bc9a1881-47e5-11ee-a90e-00e01a6800eb</t>
  </si>
  <si>
    <t>Нежно-зеленый (04)</t>
  </si>
  <si>
    <t>https://www.test.lavrpack.ru/local/templates/phoenix_v1/images_cache/thumbs/21041dfb5317df5f468656aaedf2f22e.webp?v=1789992962</t>
  </si>
  <si>
    <t>63711ba7-ac4a-11ed-ba70-00e01a6800eb#e8908280-47e5-11ee-a90e-00e01a6800eb</t>
  </si>
  <si>
    <t>Туманная роза (26)</t>
  </si>
  <si>
    <t>https://www.test.lavrpack.ru/local/templates/phoenix_v1/images_cache/thumbs/f22d65d7b1d8803fa178a446e4a5d5f5.webp?v=1789992962</t>
  </si>
  <si>
    <t>63711ba7-ac4a-11ed-ba70-00e01a6800eb#cc7ee48d-ac4a-11ed-ba70-00e01a6800eb</t>
  </si>
  <si>
    <t>Яркий бежевый (08)</t>
  </si>
  <si>
    <t>https://www.test.lavrpack.ru/local/templates/phoenix_v1/images_cache/thumbs/6f505c6b801d09a681a6d898a5fa615d.webp?v=1789992962</t>
  </si>
  <si>
    <t>63711ba7-ac4a-11ed-ba70-00e01a6800eb#22cc1357-ac4c-11ed-ba70-00e01a6800eb</t>
  </si>
  <si>
    <t>Благородный серый (13)</t>
  </si>
  <si>
    <t>https://www.test.lavrpack.ru/local/templates/phoenix_v1/images_cache/thumbs/2b11482dcd8619b94c5f67211167df63.webp?v=1789992962</t>
  </si>
  <si>
    <t>63711ba7-ac4a-11ed-ba70-00e01a6800eb#d4e3a2bc-47e5-11ee-a90e-00e01a6800eb</t>
  </si>
  <si>
    <t>Пудра (32)</t>
  </si>
  <si>
    <t>https://www.test.lavrpack.ru/local/templates/phoenix_v1/images_cache/thumbs/66db8bf37add5533f758ded16c4316da.webp?v=1789992962</t>
  </si>
  <si>
    <t>63711ba7-ac4a-11ed-ba70-00e01a6800eb#2bef060b-2209-11ee-84d8-00e01a6800eb</t>
  </si>
  <si>
    <t>Светло-зеленый (17)</t>
  </si>
  <si>
    <t>https://www.test.lavrpack.ru/local/templates/phoenix_v1/images_cache/thumbs/e44ccc3d84e9c44ce27e7bdcebd12ea6.webp?v=1789992962</t>
  </si>
  <si>
    <t>63711ba7-ac4a-11ed-ba70-00e01a6800eb#9904fb90-ac4a-11ed-ba70-00e01a6800eb</t>
  </si>
  <si>
    <t>Небесный (07)</t>
  </si>
  <si>
    <t>https://www.test.lavrpack.ru/local/templates/phoenix_v1/images_cache/thumbs/6b22eadb5dc1e69566d165dbe3f006ce.webp?v=1789992962</t>
  </si>
  <si>
    <t>63711ba7-ac4a-11ed-ba70-00e01a6800eb#ee96c40a-ce48-11ef-ab3c-22344d083d2c</t>
  </si>
  <si>
    <t>Черный (18)</t>
  </si>
  <si>
    <t>https://www.test.lavrpack.ru/local/templates/phoenix_v1/images_cache/thumbs/6ce26419787b0cb87ce3269cf0b3f345.webp?v=1789992962</t>
  </si>
  <si>
    <t>63711ba7-ac4a-11ed-ba70-00e01a6800eb#3734ffd0-ac4c-11ed-ba70-00e01a6800eb</t>
  </si>
  <si>
    <t>Мармеладный розовый (29)</t>
  </si>
  <si>
    <t>https://www.test.lavrpack.ru/local/templates/phoenix_v1/images_cache/thumbs/41a1f9583886cf561601bd60233c6cfc.webp?v=1789992962</t>
  </si>
  <si>
    <t>63711ba7-ac4a-11ed-ba70-00e01a6800eb#f4e80104-ac4a-11ed-ba70-00e01a6800eb</t>
  </si>
  <si>
    <t>Насыщенный красный (12)</t>
  </si>
  <si>
    <t>https://www.test.lavrpack.ru/local/templates/phoenix_v1/images_cache/thumbs/a87ebd43bf9c39f7da5d1011df60f54e.webp?v=1789992962</t>
  </si>
  <si>
    <t>63711ba7-ac4a-11ed-ba70-00e01a6800eb#55dfa129-ac4c-11ed-ba70-00e01a6800eb</t>
  </si>
  <si>
    <t>Белый жемчуг (22)</t>
  </si>
  <si>
    <t>https://www.test.lavrpack.ru/local/templates/phoenix_v1/images_cache/thumbs/acf32696754ae85804d0cc68fc86876d.webp?v=1789992962</t>
  </si>
  <si>
    <t>63711ba7-ac4a-11ed-ba70-00e01a6800eb#af3b3b2b-ac56-11ed-ba70-00e01a6800eb</t>
  </si>
  <si>
    <t>Заварной крем (31)</t>
  </si>
  <si>
    <t>https://www.test.lavrpack.ru/local/templates/phoenix_v1/images_cache/thumbs/83864da9259df696f3eef8305d7d6fe7.webp?v=1789992962</t>
  </si>
  <si>
    <t>63711ba7-ac4a-11ed-ba70-00e01a6800eb#e0c60fe1-7ef5-11ee-a8ad-00e01a6800eb</t>
  </si>
  <si>
    <t>Бежевый (01)</t>
  </si>
  <si>
    <t>https://www.test.lavrpack.ru/local/templates/phoenix_v1/images_cache/thumbs/04c17a74de0df49753695f93f9bc3182.webp?v=1789992962</t>
  </si>
  <si>
    <t>63711ba7-ac4a-11ed-ba70-00e01a6800eb#fb9de611-47e5-11ee-a90e-00e01a6800eb</t>
  </si>
  <si>
    <t>Сакура (21)</t>
  </si>
  <si>
    <t>https://www.test.lavrpack.ru/local/templates/phoenix_v1/images_cache/thumbs/c2fdb639ec725984807a20aea1616e71.webp?v=1789992962</t>
  </si>
  <si>
    <t>63711ba7-ac4a-11ed-ba70-00e01a6800eb#f69b2b18-ce48-11ef-ab3c-22344d083d2c</t>
  </si>
  <si>
    <t>Светло розовый (19)</t>
  </si>
  <si>
    <t>https://www.test.lavrpack.ru/local/templates/phoenix_v1/images_cache/thumbs/aedfb7b74937756e92d95d95cce409e9.webp?v=1789992962</t>
  </si>
  <si>
    <t>63711ba7-ac4a-11ed-ba70-00e01a6800eb#d1dc0a5f-ce48-11ef-ab3c-22344d083d2c</t>
  </si>
  <si>
    <t>Серый (03)</t>
  </si>
  <si>
    <t>https://www.test.lavrpack.ru/local/templates/phoenix_v1/images_cache/thumbs/8a2f095e6c2abecaab382370ac9a4e5b.webp?v=1789992962</t>
  </si>
  <si>
    <t>63711ba7-ac4a-11ed-ba70-00e01a6800eb#da7cc3f9-ce48-11ef-ab3c-22344d083d2c</t>
  </si>
  <si>
    <t>Серо-сиреневый (15)</t>
  </si>
  <si>
    <t>https://www.test.lavrpack.ru/local/templates/phoenix_v1/images_cache/thumbs/196f1b75d39790e8a739f2f998e2bfe4.webp?v=1789992962</t>
  </si>
  <si>
    <t>63711ba7-ac4a-11ed-ba70-00e01a6800eb#7647e6a3-ac4a-11ed-ba70-00e01a6800eb</t>
  </si>
  <si>
    <t>Пепельный розовый (02)</t>
  </si>
  <si>
    <t>https://www.test.lavrpack.ru/local/templates/phoenix_v1/images_cache/thumbs/6310cab5892c307b4287e0f5414f3764.webp?v=1789992962</t>
  </si>
  <si>
    <t>63711ba7-ac4a-11ed-ba70-00e01a6800eb#ab23cbfb-ac54-11ed-ba70-00e01a6800eb</t>
  </si>
  <si>
    <t>Пепельная пудра (28)</t>
  </si>
  <si>
    <t>https://www.test.lavrpack.ru/local/templates/phoenix_v1/images_cache/thumbs/93997f4ec562e8682a7a9834c3e48892.webp?v=1789992962</t>
  </si>
  <si>
    <t>63711ba7-ac4a-11ed-ba70-00e01a6800eb#6fbba5c6-ac56-11ed-ba70-00e01a6800eb</t>
  </si>
  <si>
    <t>Сливочный (24)</t>
  </si>
  <si>
    <t>https://www.test.lavrpack.ru/local/templates/phoenix_v1/images_cache/thumbs/393e5d1749e6dc34b0b8e3d5916da61f.webp?v=1789992962</t>
  </si>
  <si>
    <t>63711ba7-ac4a-11ed-ba70-00e01a6800eb#87a67120-ac4a-11ed-ba70-00e01a6800eb</t>
  </si>
  <si>
    <t>Фиолетовый (06)</t>
  </si>
  <si>
    <t>https://www.test.lavrpack.ru/local/templates/phoenix_v1/images_cache/thumbs/dd44aaf27885ee10e1f46bd7550b3cb0.webp?v=1789992962</t>
  </si>
  <si>
    <t>63711ba7-ac4a-11ed-ba70-00e01a6800eb#a2e93bb3-ac56-11ed-ba70-00e01a6800eb</t>
  </si>
  <si>
    <t>Ледяной чай (30)</t>
  </si>
  <si>
    <t>https://www.test.lavrpack.ru/local/templates/phoenix_v1/images_cache/thumbs/a88df07b8683fa1055a68c3b6efc2501.webp?v=1789992962</t>
  </si>
  <si>
    <t>63711ba7-ac4a-11ed-ba70-00e01a6800eb#02c248aa-ce49-11ef-ab3c-22344d083d2c</t>
  </si>
  <si>
    <t>Оливковый (23)</t>
  </si>
  <si>
    <t>https://www.test.lavrpack.ru/local/templates/phoenix_v1/images_cache/thumbs/0cd67ccc57519a5a2af3409bd0ea92d9.webp?v=1789992962</t>
  </si>
  <si>
    <t>63711ba7-ac4a-11ed-ba70-00e01a6800eb#a3de010c-fd0b-11f0-ab4d-22344d083d2c</t>
  </si>
  <si>
    <t>Телесный (09)</t>
  </si>
  <si>
    <t>https://www.test.lavrpack.ru/local/templates/phoenix_v1/images_cache/thumbs/162c201214a256a3bfa4eabde0d20f15.webp?v=1790033754</t>
  </si>
  <si>
    <t>a7593b5f-bb95-11ef-ab3b-22344d083d2c#cc7234d6-bb95-11ef-ab3b-22344d083d2c</t>
  </si>
  <si>
    <t>110790</t>
  </si>
  <si>
    <t>Матовая плёнка "Бутоны роз"</t>
  </si>
  <si>
    <t>65мкр, Светло-зеленый</t>
  </si>
  <si>
    <t>https://www.test.lavrpack.ru/local/templates/phoenix_v1/images_cache/thumbs/2516e46c32a9288a34785c24535fda91.webp?v=1789992962</t>
  </si>
  <si>
    <t>a7593b5f-bb95-11ef-ab3b-22344d083d2c#bec04a30-bb95-11ef-ab3b-22344d083d2c</t>
  </si>
  <si>
    <t>65мкр, Светло-сиреневый</t>
  </si>
  <si>
    <t>https://www.test.lavrpack.ru/local/templates/phoenix_v1/images_cache/thumbs/26baa4d67cb7eaaff2a183c73324a126.webp?v=1789992962</t>
  </si>
  <si>
    <t>a7593b5f-bb95-11ef-ab3b-22344d083d2c#c4f63e31-bb95-11ef-ab3b-22344d083d2c</t>
  </si>
  <si>
    <t>65мкр, Светло-розовый</t>
  </si>
  <si>
    <t>https://www.test.lavrpack.ru/local/templates/phoenix_v1/images_cache/thumbs/c89d2ae7c06134e4557661cb5291f628.webp?v=1789992962</t>
  </si>
  <si>
    <t>d30a1965-edb6-11ee-9f05-00e01a6800eb#0170f88f-4d27-11f1-ab50-22344d083d2c</t>
  </si>
  <si>
    <t>106969</t>
  </si>
  <si>
    <t>Матовая пленка "Весенний букет"</t>
  </si>
  <si>
    <t>Красный</t>
  </si>
  <si>
    <t>https://www.test.lavrpack.ru/local/templates/phoenix_v1/images_cache/thumbs/ce34cd70939765680bde65fcb2ab5770.webp?v=1790033754</t>
  </si>
  <si>
    <t>d30a1965-edb6-11ee-9f05-00e01a6800eb#a24103a2-967c-11ef-ab37-22344d083d2c</t>
  </si>
  <si>
    <t>Кремовый</t>
  </si>
  <si>
    <t>https://www.test.lavrpack.ru/local/templates/phoenix_v1/images_cache/thumbs/a1752afb8c0ea7060329c0b2cd39d843.webp?v=1789992962</t>
  </si>
  <si>
    <t>87b7175b-edb2-11ee-9f05-00e01a6800eb#9b6195be-edb2-11ee-9f05-00e01a6800eb</t>
  </si>
  <si>
    <t>106967</t>
  </si>
  <si>
    <t>Матовая пленка "Любовная история"</t>
  </si>
  <si>
    <t>Розовый</t>
  </si>
  <si>
    <t>https://www.test.lavrpack.ru/local/templates/phoenix_v1/images_cache/thumbs/3f9eb6fa42225696a9bf75cdd5994b92.webp?v=1789992962</t>
  </si>
  <si>
    <t>87b7175b-edb2-11ee-9f05-00e01a6800eb#8e4c659d-edb2-11ee-9f05-00e01a6800eb</t>
  </si>
  <si>
    <t>https://www.test.lavrpack.ru/local/templates/phoenix_v1/images_cache/thumbs/edd729925717d7ceb2ab51df164c25f1.webp?v=1789992962</t>
  </si>
  <si>
    <t>431b56db-bb94-11ef-ab3b-22344d083d2c#55cf1c2a-bb94-11ef-ab3b-22344d083d2c</t>
  </si>
  <si>
    <t>110789</t>
  </si>
  <si>
    <t>Матовая плёнка "Рукописи"</t>
  </si>
  <si>
    <t>65мкр, Кремовый</t>
  </si>
  <si>
    <t>https://www.test.lavrpack.ru/local/templates/phoenix_v1/images_cache/thumbs/995bfbc875195828bf151ac224dc07c6.webp?v=1789992962</t>
  </si>
  <si>
    <t>602118e0-1aff-11ee-8f7e-00e01a6800eb#94ae313e-1b01-11ee-8f7e-00e01a6800eb</t>
  </si>
  <si>
    <t>103284</t>
  </si>
  <si>
    <t>Россия, желтый</t>
  </si>
  <si>
    <t>Лак "Pastel" 59см×180гр</t>
  </si>
  <si>
    <t>https://www.test.lavrpack.ru/local/templates/phoenix_v1/images_cache/thumbs/5694a50d69527069edb7c539f722c697.webp?v=1789992962</t>
  </si>
  <si>
    <t>602118e0-1aff-11ee-8f7e-00e01a6800eb#ea7064bd-1b01-11ee-8f7e-00e01a6800eb</t>
  </si>
  <si>
    <t>Россия, тиффани</t>
  </si>
  <si>
    <t>https://www.test.lavrpack.ru/local/templates/phoenix_v1/images_cache/thumbs/6c918c71cbdfa8be81c8ec61469c7efb.webp?v=1789992962</t>
  </si>
  <si>
    <t>602118e0-1aff-11ee-8f7e-00e01a6800eb#99a9db33-8bb9-11ef-ab5c-1cfd08767543</t>
  </si>
  <si>
    <t>Россия, лаванда</t>
  </si>
  <si>
    <t>https://www.test.lavrpack.ru/local/templates/phoenix_v1/images_cache/thumbs/ec53b6654ba3c4e810c6b32d107b4202.webp?v=1789992962</t>
  </si>
  <si>
    <t>602118e0-1aff-11ee-8f7e-00e01a6800eb#a6581c26-8bb9-11ef-ab5c-1cfd08767543</t>
  </si>
  <si>
    <t>Россия, розово-лавандовый</t>
  </si>
  <si>
    <t>https://www.test.lavrpack.ru/local/templates/phoenix_v1/images_cache/thumbs/a3e7dec5f3de7c55941c19c6956d22ab.webp?v=1789992962</t>
  </si>
  <si>
    <t>602118e0-1aff-11ee-8f7e-00e01a6800eb#8c65c9c6-8bb9-11ef-ab5c-1cfd08767543</t>
  </si>
  <si>
    <t>Россия, зеленый чай</t>
  </si>
  <si>
    <t>https://www.test.lavrpack.ru/local/templates/phoenix_v1/images_cache/thumbs/98e38efc9d4e98912a4f8ff83a35d9ae.webp?v=1789992962</t>
  </si>
  <si>
    <t>602118e0-1aff-11ee-8f7e-00e01a6800eb#c722fd89-8bb9-11ef-ab5c-1cfd08767543</t>
  </si>
  <si>
    <t>Россия, сливовый</t>
  </si>
  <si>
    <t>https://www.test.lavrpack.ru/local/templates/phoenix_v1/images_cache/thumbs/9e96374ae21de23f7d382f424edf3767.webp?v=1789992962</t>
  </si>
  <si>
    <t>602118e0-1aff-11ee-8f7e-00e01a6800eb#84107634-1b01-11ee-8f7e-00e01a6800eb</t>
  </si>
  <si>
    <t>Россия, белый</t>
  </si>
  <si>
    <t>https://www.test.lavrpack.ru/local/templates/phoenix_v1/images_cache/thumbs/caaf78e0a78ec9555c9da8ca07c9ea7a.webp?v=1789992962</t>
  </si>
  <si>
    <t>3db3b8c7-d6da-11ee-a0ad-00e01a6800eb#703d0fa6-d6da-11ee-a0ad-00e01a6800eb</t>
  </si>
  <si>
    <t>106513</t>
  </si>
  <si>
    <t>Россия, Розовый/черный</t>
  </si>
  <si>
    <t>"Жемчужная Коллаж тон."2-х сторон.с рис.60см×200гр</t>
  </si>
  <si>
    <t>https://www.test.lavrpack.ru/local/templates/phoenix_v1/images_cache/thumbs/430723878ea7080e4a92bdb8b197e7f5.webp?v=1789992962</t>
  </si>
  <si>
    <t>3db3b8c7-d6da-11ee-a0ad-00e01a6800eb#51bfcf84-d6da-11ee-a0ad-00e01a6800eb</t>
  </si>
  <si>
    <t>Россия, Светло-фиолетовый/черный</t>
  </si>
  <si>
    <t>https://www.test.lavrpack.ru/local/templates/phoenix_v1/images_cache/thumbs/bd5deff30126abf791ce6a67d744afb4.webp?v=1789992962</t>
  </si>
  <si>
    <t>aaa0c0f9-d6d3-11ee-a0ad-00e01a6800eb#18b3a2f5-d6d4-11ee-a0ad-00e01a6800eb</t>
  </si>
  <si>
    <t>106511</t>
  </si>
  <si>
    <t>Россия, Салат/салат</t>
  </si>
  <si>
    <t>"Жемчужная тонировка"2-х сторон."60см×200гр</t>
  </si>
  <si>
    <t>https://www.test.lavrpack.ru/local/templates/phoenix_v1/images_cache/thumbs/2f012e8c610a25519d6fd393e6fde24d.webp?v=1789992962</t>
  </si>
  <si>
    <t>aaa0c0f9-d6d3-11ee-a0ad-00e01a6800eb#c9fbdf1d-d6d4-11ee-a0ad-00e01a6800eb</t>
  </si>
  <si>
    <t>Россия, Болотный/зеленый чай</t>
  </si>
  <si>
    <t>https://www.test.lavrpack.ru/local/templates/phoenix_v1/images_cache/thumbs/f11b10f2dbfeecb8765b6c75b3172429.webp?v=1786404476</t>
  </si>
  <si>
    <t>aaa0c0f9-d6d3-11ee-a0ad-00e01a6800eb#8f3ca91a-d6d4-11ee-a0ad-00e01a6800eb</t>
  </si>
  <si>
    <t>Россия, Пастельный/олива</t>
  </si>
  <si>
    <t>https://www.test.lavrpack.ru/local/templates/phoenix_v1/images_cache/thumbs/668958d89736e16a584c8f4adf4d5a5a.webp?v=1789992962</t>
  </si>
  <si>
    <t>aaa0c0f9-d6d3-11ee-a0ad-00e01a6800eb#7a17afea-d6d4-11ee-a0ad-00e01a6800eb</t>
  </si>
  <si>
    <t>Россия, Пастельный/персик</t>
  </si>
  <si>
    <t>https://www.test.lavrpack.ru/local/templates/phoenix_v1/images_cache/thumbs/d1624b45d7ea46059c9dc8bb684ff02a.webp?v=1789992962</t>
  </si>
  <si>
    <t>aaa0c0f9-d6d3-11ee-a0ad-00e01a6800eb#af8a1591-d6d4-11ee-a0ad-00e01a6800eb</t>
  </si>
  <si>
    <t>Россия, Голубой/голубой</t>
  </si>
  <si>
    <t>https://www.test.lavrpack.ru/local/templates/phoenix_v1/images_cache/thumbs/8595e4562c62a52a3a88985a2e8c2837.webp?v=1789553477</t>
  </si>
  <si>
    <t>aaa0c0f9-d6d3-11ee-a0ad-00e01a6800eb#0dcbf917-5886-11ef-ab50-1cfd08767542</t>
  </si>
  <si>
    <t>Россия, Кофе с молоком/кофе с молоком</t>
  </si>
  <si>
    <t>https://www.test.lavrpack.ru/local/templates/phoenix_v1/images_cache/thumbs/6642857c44c58aabf585a08b83f4d505.webp?v=1790033754</t>
  </si>
  <si>
    <t>aaa0c0f9-d6d3-11ee-a0ad-00e01a6800eb#e620c672-d6d3-11ee-a0ad-00e01a6800eb</t>
  </si>
  <si>
    <t>Россия, Слива/бордовый</t>
  </si>
  <si>
    <t>https://www.test.lavrpack.ru/local/templates/phoenix_v1/images_cache/thumbs/42bc3579dca978e67cf627539c9e08bc.webp?v=1789992962</t>
  </si>
  <si>
    <t>aaa0c0f9-d6d3-11ee-a0ad-00e01a6800eb#f447062a-3783-11ef-ab44-22344d083d2c</t>
  </si>
  <si>
    <t>Россия, Пудра/пудра</t>
  </si>
  <si>
    <t>https://www.test.lavrpack.ru/local/templates/phoenix_v1/images_cache/thumbs/82dbcf1fcbbe85836f596d3eea91bab9.webp?v=1789992962</t>
  </si>
  <si>
    <t>aaa0c0f9-d6d3-11ee-a0ad-00e01a6800eb#6be017e8-d6d4-11ee-a0ad-00e01a6800eb</t>
  </si>
  <si>
    <t>Россия, Персик/персик</t>
  </si>
  <si>
    <t>https://www.test.lavrpack.ru/local/templates/phoenix_v1/images_cache/thumbs/3405a965b642a9cbdcbdf05916acc20b.webp?v=1789992962</t>
  </si>
  <si>
    <t>aaa0c0f9-d6d3-11ee-a0ad-00e01a6800eb#f0f126d1-d6d3-11ee-a0ad-00e01a6800eb</t>
  </si>
  <si>
    <t>Россия, Сирень/розовый</t>
  </si>
  <si>
    <t>https://www.test.lavrpack.ru/local/templates/phoenix_v1/images_cache/thumbs/6d24b45ae57dabc8d01da6a8c17755de.webp?v=1789992962</t>
  </si>
  <si>
    <t>aaa0c0f9-d6d3-11ee-a0ad-00e01a6800eb#18b12440-3784-11ef-ab44-22344d083d2c</t>
  </si>
  <si>
    <t>Россия, Сирень/сирень</t>
  </si>
  <si>
    <t>https://www.test.lavrpack.ru/local/templates/phoenix_v1/images_cache/thumbs/730e318eac97dce5e57107f2e305b79e.webp?v=1789992962</t>
  </si>
  <si>
    <t>aaa0c0f9-d6d3-11ee-a0ad-00e01a6800eb#b9d2c780-d6d4-11ee-a0ad-00e01a6800eb</t>
  </si>
  <si>
    <t>Россия, Васильковый/серый</t>
  </si>
  <si>
    <t>https://www.test.lavrpack.ru/local/templates/phoenix_v1/images_cache/thumbs/254dd415aed8c5ddf5f1c9fc65f5c3e4.webp?v=1789992962</t>
  </si>
  <si>
    <t>06ee3f41-d6d3-11ee-a0ad-00e01a6800eb#10c71095-d6d3-11ee-a0ad-00e01a6800eb</t>
  </si>
  <si>
    <t>106510</t>
  </si>
  <si>
    <t>"Жемчужная Флористик"2-х сторон.с рис."60см×200гр</t>
  </si>
  <si>
    <t>https://www.test.lavrpack.ru/local/templates/phoenix_v1/images_cache/thumbs/d2f566e04ed5db5aa5647960b7507c65.webp?v=1789992962</t>
  </si>
  <si>
    <t>06ee3f41-d6d3-11ee-a0ad-00e01a6800eb#48347b45-d6d3-11ee-a0ad-00e01a6800eb</t>
  </si>
  <si>
    <t>Россия, Красный/черный</t>
  </si>
  <si>
    <t>https://www.test.lavrpack.ru/local/templates/phoenix_v1/images_cache/thumbs/9b9ac0f2efe425bd4e112ad2253aff9d.webp?v=1789992962</t>
  </si>
  <si>
    <t>06ee3f41-d6d3-11ee-a0ad-00e01a6800eb#1fde69e0-d6d3-11ee-a0ad-00e01a6800eb</t>
  </si>
  <si>
    <t>https://www.test.lavrpack.ru/local/templates/phoenix_v1/images_cache/thumbs/752c3badeb9ae01b3c6b76b014d78902.webp?v=1789992962</t>
  </si>
  <si>
    <t>1a5ea0af-d6d1-11ee-a0ad-00e01a6800eb#7ab0ef65-d6d1-11ee-a0ad-00e01a6800eb</t>
  </si>
  <si>
    <t>106509</t>
  </si>
  <si>
    <t>Россия, Пастельный</t>
  </si>
  <si>
    <t>"Жемчужная Царь Горох тон."2-х сторон. 60см×200гр</t>
  </si>
  <si>
    <t>https://www.test.lavrpack.ru/local/templates/phoenix_v1/images_cache/thumbs/a715d3f70f513bdf0408906a52967bb8.webp?v=1789992962</t>
  </si>
  <si>
    <t>8cdb344d-d6cf-11ee-a0ad-00e01a6800eb#32b856b4-d6d0-11ee-a0ad-00e01a6800eb</t>
  </si>
  <si>
    <t>106508</t>
  </si>
  <si>
    <t>Россия, Лимон/черный</t>
  </si>
  <si>
    <t>"Жемчужная Экспресс тон."2-х сторон. 59см×200гр</t>
  </si>
  <si>
    <t>https://www.test.lavrpack.ru/local/templates/phoenix_v1/images_cache/thumbs/d46a4ff32ebc75706d7a34c99b84ee17.webp?v=1789992962</t>
  </si>
  <si>
    <t>8cdb344d-d6cf-11ee-a0ad-00e01a6800eb#1f684ce6-d6d0-11ee-a0ad-00e01a6800eb</t>
  </si>
  <si>
    <t>Россия, Пастельный/черный</t>
  </si>
  <si>
    <t>https://www.test.lavrpack.ru/local/templates/phoenix_v1/images_cache/thumbs/6261f47b258a07093009e36478f742a3.webp?v=1789992962</t>
  </si>
  <si>
    <t>8cdb344d-d6cf-11ee-a0ad-00e01a6800eb#67b618ef-d6d0-11ee-a0ad-00e01a6800eb</t>
  </si>
  <si>
    <t>Россия, Зеленый чай/черный</t>
  </si>
  <si>
    <t>https://www.test.lavrpack.ru/local/templates/phoenix_v1/images_cache/thumbs/666a7da34ad756c30e79bf5158cb2176.webp?v=1789992962</t>
  </si>
  <si>
    <t>8cdb344d-d6cf-11ee-a0ad-00e01a6800eb#78b30b17-d6d0-11ee-a0ad-00e01a6800eb</t>
  </si>
  <si>
    <t>Россия, Васильковый/черный</t>
  </si>
  <si>
    <t>https://www.test.lavrpack.ru/local/templates/phoenix_v1/images_cache/thumbs/62d44e4f715c3e0b21a90e0a583945b3.webp?v=1789992962</t>
  </si>
  <si>
    <t>8cdb344d-d6cf-11ee-a0ad-00e01a6800eb#b4518458-d6cf-11ee-a0ad-00e01a6800eb</t>
  </si>
  <si>
    <t>https://www.test.lavrpack.ru/local/templates/phoenix_v1/images_cache/thumbs/d6325bdaaade120dac70160c46e4fa76.webp?v=1789992962</t>
  </si>
  <si>
    <t>b1692307-d6c4-11ee-a0ad-00e01a6800eb#c0cca87c-d6c4-11ee-a0ad-00e01a6800eb</t>
  </si>
  <si>
    <t>106503</t>
  </si>
  <si>
    <t>Россия, Сирень</t>
  </si>
  <si>
    <t>"Круги" 70см×200гр</t>
  </si>
  <si>
    <t>https://www.test.lavrpack.ru/local/templates/phoenix_v1/images_cache/thumbs/c59a8627266f714b74af0864521e42e9.webp?v=1789992962</t>
  </si>
  <si>
    <t>b1692307-d6c4-11ee-a0ad-00e01a6800eb#c7a49d45-d6c4-11ee-a0ad-00e01a6800eb</t>
  </si>
  <si>
    <t>Россия, Салат</t>
  </si>
  <si>
    <t>https://www.test.lavrpack.ru/local/templates/phoenix_v1/images_cache/thumbs/82e7456a2ea5a2de45bcb705a6bbbbb9.webp?v=1789992962</t>
  </si>
  <si>
    <t>b1692307-d6c4-11ee-a0ad-00e01a6800eb#e3be1bb2-d6c4-11ee-a0ad-00e01a6800eb</t>
  </si>
  <si>
    <t>Россия, Желтый</t>
  </si>
  <si>
    <t>https://www.test.lavrpack.ru/local/templates/phoenix_v1/images_cache/thumbs/b828d9521e8761d01ddaecc143408a3f.webp?v=1789992962</t>
  </si>
  <si>
    <t>b1692307-d6c4-11ee-a0ad-00e01a6800eb#e9bd7343-d6c4-11ee-a0ad-00e01a6800eb</t>
  </si>
  <si>
    <t>Россия, Белый</t>
  </si>
  <si>
    <t>https://www.test.lavrpack.ru/local/templates/phoenix_v1/images_cache/thumbs/8df57342d644009b9d4796be8e277d29.webp?v=1789992962</t>
  </si>
  <si>
    <t>b1692307-d6c4-11ee-a0ad-00e01a6800eb#d1a1232c-d6c4-11ee-a0ad-00e01a6800eb</t>
  </si>
  <si>
    <t>Россия, Розовый</t>
  </si>
  <si>
    <t>https://www.test.lavrpack.ru/local/templates/phoenix_v1/images_cache/thumbs/7915655f6498521db98ae0ce4043c241.webp?v=1789992962</t>
  </si>
  <si>
    <t>b1692307-d6c4-11ee-a0ad-00e01a6800eb#dafe2cd1-d6c4-11ee-a0ad-00e01a6800eb</t>
  </si>
  <si>
    <t>Россия, Красный</t>
  </si>
  <si>
    <t>https://www.test.lavrpack.ru/local/templates/phoenix_v1/images_cache/thumbs/ac2b63f71b2efb8c5f7c7901814e8a66.webp?v=1789992962</t>
  </si>
  <si>
    <t>b1692307-d6c4-11ee-a0ad-00e01a6800eb#b8ae972c-d6c4-11ee-a0ad-00e01a6800eb</t>
  </si>
  <si>
    <t>Россия, Ярко-розовый</t>
  </si>
  <si>
    <t>https://www.test.lavrpack.ru/local/templates/phoenix_v1/images_cache/thumbs/45017c5a06a7f95a0629d29df5a190b2.webp?v=1789992962</t>
  </si>
  <si>
    <t>2b777b2d-d637-11ee-a0ad-00e01a6800eb#831ce604-d637-11ee-a0ad-00e01a6800eb</t>
  </si>
  <si>
    <t>106498</t>
  </si>
  <si>
    <t>"Письмо" 70см×200гр</t>
  </si>
  <si>
    <t>https://www.test.lavrpack.ru/local/templates/phoenix_v1/images_cache/thumbs/8d9d6aabf803e3a2fbb9ed4f5df9c989.webp?v=1789992962</t>
  </si>
  <si>
    <t>2b777b2d-d637-11ee-a0ad-00e01a6800eb#6aaae453-d637-11ee-a0ad-00e01a6800eb</t>
  </si>
  <si>
    <t>https://www.test.lavrpack.ru/local/templates/phoenix_v1/images_cache/thumbs/7f2a5743d2d655612354afe395b7ea9e.webp?v=1789992962</t>
  </si>
  <si>
    <t>2b777b2d-d637-11ee-a0ad-00e01a6800eb#41bc7b14-d637-11ee-a0ad-00e01a6800eb</t>
  </si>
  <si>
    <t>Россия, Черный</t>
  </si>
  <si>
    <t>https://www.test.lavrpack.ru/local/templates/phoenix_v1/images_cache/thumbs/6fc9a1a1ce45bf55df6e6deaac0dc79d.webp?v=1789992962</t>
  </si>
  <si>
    <t>2b777b2d-d637-11ee-a0ad-00e01a6800eb#50c32a98-d637-11ee-a0ad-00e01a6800eb</t>
  </si>
  <si>
    <t>https://www.test.lavrpack.ru/local/templates/phoenix_v1/images_cache/thumbs/5f9f1ee8532f1ece883675790f87993a.webp?v=1789992962</t>
  </si>
  <si>
    <t>745908ee-d624-11ee-a0ad-00e01a6800eb#7cf2e1cb-d624-11ee-a0ad-00e01a6800eb</t>
  </si>
  <si>
    <t>106492</t>
  </si>
  <si>
    <t>"Рукопись" 70см×200гр</t>
  </si>
  <si>
    <t>https://www.test.lavrpack.ru/local/templates/phoenix_v1/images_cache/thumbs/2f17ab1e2537b6b738949f6456c74f2d.webp?v=1789992962</t>
  </si>
  <si>
    <t>745908ee-d624-11ee-a0ad-00e01a6800eb#85585c63-d624-11ee-a0ad-00e01a6800eb</t>
  </si>
  <si>
    <t>https://www.test.lavrpack.ru/local/templates/phoenix_v1/images_cache/thumbs/3802b26e054438fd75740b17f5a118bf.webp?v=1789992962</t>
  </si>
  <si>
    <t>47dbb00b-ea9f-11ee-9f05-00e01a6800eb#5ff0dbff-ea9f-11ee-9f05-00e01a6800eb</t>
  </si>
  <si>
    <t>106878</t>
  </si>
  <si>
    <t>Россия, красный</t>
  </si>
  <si>
    <t>"Сердца" 70см×200гр</t>
  </si>
  <si>
    <t>https://www.test.lavrpack.ru/local/templates/phoenix_v1/images_cache/thumbs/652608f2d94f5ac1bca805d34ed74ff3.webp?v=1789992962</t>
  </si>
  <si>
    <t>cfdd19b9-d620-11ee-a0ad-00e01a6800eb#18914136-d621-11ee-a0ad-00e01a6800eb</t>
  </si>
  <si>
    <t>106488</t>
  </si>
  <si>
    <t>Россия, Розовый/золото</t>
  </si>
  <si>
    <t>"Совершенство тон." 60см×200гр</t>
  </si>
  <si>
    <t>https://www.test.lavrpack.ru/local/templates/phoenix_v1/images_cache/thumbs/4474721b89aa3146ad186a3e128f6d79.webp?v=1789992962</t>
  </si>
  <si>
    <t>cfdd19b9-d620-11ee-a0ad-00e01a6800eb#31d97ebf-d621-11ee-a0ad-00e01a6800eb</t>
  </si>
  <si>
    <t>Россия, Белый/золото</t>
  </si>
  <si>
    <t>https://www.test.lavrpack.ru/local/templates/phoenix_v1/images_cache/thumbs/473e9a9bc76df5b1f4ee0ada9a86c27e.webp?v=1789992962</t>
  </si>
  <si>
    <t>655c33bf-d61b-11ee-a0ad-00e01a6800eb#e605f32d-d61c-11ee-a0ad-00e01a6800eb</t>
  </si>
  <si>
    <t>106486</t>
  </si>
  <si>
    <t>Россия, Фиолетовый</t>
  </si>
  <si>
    <t>"Тонировка матовая"70см×200гр</t>
  </si>
  <si>
    <t>https://www.test.lavrpack.ru/local/templates/phoenix_v1/images_cache/thumbs/5f7e9b9168aee1e421e5672064c6c4f5.webp?v=1789992962</t>
  </si>
  <si>
    <t>655c33bf-d61b-11ee-a0ad-00e01a6800eb#3ef1f7de-d61e-11ee-a0ad-00e01a6800eb</t>
  </si>
  <si>
    <t>Россия, Зеленый</t>
  </si>
  <si>
    <t>https://www.test.lavrpack.ru/local/templates/phoenix_v1/images_cache/thumbs/1225bd33e2555a60e98cf54d4d2799f8.webp?v=1789992962</t>
  </si>
  <si>
    <t>655c33bf-d61b-11ee-a0ad-00e01a6800eb#d9b3f3ab-d61c-11ee-a0ad-00e01a6800eb</t>
  </si>
  <si>
    <t>Россия, Ярко-голубой</t>
  </si>
  <si>
    <t>https://www.test.lavrpack.ru/local/templates/phoenix_v1/images_cache/thumbs/0b5325ee7f58362918108491726c6080.webp?v=1789992962</t>
  </si>
  <si>
    <t>655c33bf-d61b-11ee-a0ad-00e01a6800eb#ed60d393-d61c-11ee-a0ad-00e01a6800eb</t>
  </si>
  <si>
    <t>https://www.test.lavrpack.ru/local/templates/phoenix_v1/images_cache/thumbs/32125c0ff054ec286037f8bb06398116.webp?v=1789992962</t>
  </si>
  <si>
    <t>655c33bf-d61b-11ee-a0ad-00e01a6800eb#c01f0ba6-d61b-11ee-a0ad-00e01a6800eb</t>
  </si>
  <si>
    <t>Россия, Синий</t>
  </si>
  <si>
    <t>https://www.test.lavrpack.ru/local/templates/phoenix_v1/images_cache/thumbs/d81e2ee4e460306e65f006a9528976b5.webp?v=1789992962</t>
  </si>
  <si>
    <t>655c33bf-d61b-11ee-a0ad-00e01a6800eb#2630eaa9-d61d-11ee-a0ad-00e01a6800eb</t>
  </si>
  <si>
    <t>https://www.test.lavrpack.ru/local/templates/phoenix_v1/images_cache/thumbs/65cb3b12191277f9bd30f0415cd2566a.webp?v=1789992962</t>
  </si>
  <si>
    <t>655c33bf-d61b-11ee-a0ad-00e01a6800eb#b9a8af43-d61b-11ee-a0ad-00e01a6800eb</t>
  </si>
  <si>
    <t>Россия, Сирень (62)</t>
  </si>
  <si>
    <t>https://www.test.lavrpack.ru/local/templates/phoenix_v1/images_cache/thumbs/55ee95140b7f22bca024bad8161ff947.webp?v=1789992962</t>
  </si>
  <si>
    <t>655c33bf-d61b-11ee-a0ad-00e01a6800eb#c57f658a-d61c-11ee-a0ad-00e01a6800eb</t>
  </si>
  <si>
    <t>https://www.test.lavrpack.ru/local/templates/phoenix_v1/images_cache/thumbs/8c7ac178831389f847f35bb822d771dc.webp?v=1789992962</t>
  </si>
  <si>
    <t>655c33bf-d61b-11ee-a0ad-00e01a6800eb#dfff777b-d61c-11ee-a0ad-00e01a6800eb</t>
  </si>
  <si>
    <t>https://www.test.lavrpack.ru/local/templates/phoenix_v1/images_cache/thumbs/6297a94593c81711c4b7f2ed266918aa.webp?v=1789992962</t>
  </si>
  <si>
    <t>655c33bf-d61b-11ee-a0ad-00e01a6800eb#19cbe06b-d61d-11ee-a0ad-00e01a6800eb</t>
  </si>
  <si>
    <t>Россия, Крем</t>
  </si>
  <si>
    <t>https://www.test.lavrpack.ru/local/templates/phoenix_v1/images_cache/thumbs/7baecc9bc9cbc06a00f6509b7d49d3a9.webp?v=1789992962</t>
  </si>
  <si>
    <t>655c33bf-d61b-11ee-a0ad-00e01a6800eb#45234c32-d61e-11ee-a0ad-00e01a6800eb</t>
  </si>
  <si>
    <t>https://www.test.lavrpack.ru/local/templates/phoenix_v1/images_cache/thumbs/942d6d8a7ba1ed691bf8da95f7f0d7ad.webp?v=1789992962</t>
  </si>
  <si>
    <t>655c33bf-d61b-11ee-a0ad-00e01a6800eb#fa2776ef-d61c-11ee-a0ad-00e01a6800eb</t>
  </si>
  <si>
    <t>Россия, Персик</t>
  </si>
  <si>
    <t>https://www.test.lavrpack.ru/local/templates/phoenix_v1/images_cache/thumbs/38cdf2c01be946db2a4dc6d0d331532e.webp?v=1790033754</t>
  </si>
  <si>
    <t>655c33bf-d61b-11ee-a0ad-00e01a6800eb#cc038b9f-d61b-11ee-a0ad-00e01a6800eb</t>
  </si>
  <si>
    <t>Россия, Салат нежный</t>
  </si>
  <si>
    <t>https://www.test.lavrpack.ru/local/templates/phoenix_v1/images_cache/thumbs/a375cf113575ceda515f2a3d41f1d7b9.webp?v=1789992962</t>
  </si>
  <si>
    <t>655c33bf-d61b-11ee-a0ad-00e01a6800eb#4bc6e347-d61e-11ee-a0ad-00e01a6800eb</t>
  </si>
  <si>
    <t>Россия, Голубой</t>
  </si>
  <si>
    <t>https://www.test.lavrpack.ru/local/templates/phoenix_v1/images_cache/thumbs/fd686125e5ad7a9bb8443d0a197dc189.webp?v=1789992962</t>
  </si>
  <si>
    <t>655c33bf-d61b-11ee-a0ad-00e01a6800eb#12a7bf99-d61d-11ee-a0ad-00e01a6800eb</t>
  </si>
  <si>
    <t>Россия, Малина</t>
  </si>
  <si>
    <t>https://www.test.lavrpack.ru/local/templates/phoenix_v1/images_cache/thumbs/1ec08d6aaa000389a5a68305f92ea90a.webp?v=1789992962</t>
  </si>
  <si>
    <t>655c33bf-d61b-11ee-a0ad-00e01a6800eb#521266f2-d61e-11ee-a0ad-00e01a6800eb</t>
  </si>
  <si>
    <t>https://www.test.lavrpack.ru/local/templates/phoenix_v1/images_cache/thumbs/f5737efe65e08e90683991e94cfe12a9.webp?v=1789992962</t>
  </si>
  <si>
    <t>a9bdfbb7-901d-11ee-a8ad-00e01a6800eb#759bb60e-901e-11ee-a8ad-00e01a6800eb</t>
  </si>
  <si>
    <t>105201</t>
  </si>
  <si>
    <t>Пленка "Дофамин"</t>
  </si>
  <si>
    <t>Персик</t>
  </si>
  <si>
    <t>52см×10м,</t>
  </si>
  <si>
    <t>https://www.test.lavrpack.ru/local/templates/phoenix_v1/images_cache/thumbs/5ec9b2015b749d4a43d67395a90bf6fb.webp?v=1789992962</t>
  </si>
  <si>
    <t>a9bdfbb7-901d-11ee-a8ad-00e01a6800eb#18224a63-901f-11ee-a8ad-00e01a6800eb</t>
  </si>
  <si>
    <t>Черный</t>
  </si>
  <si>
    <t>https://www.test.lavrpack.ru/local/templates/phoenix_v1/images_cache/thumbs/f5fb1200c30287487379cd9e6f1d3a0c.webp?v=1789992962</t>
  </si>
  <si>
    <t>bc20a207-1734-11ee-8f7e-00e01a6800eb#cb48a505-1734-11ee-8f7e-00e01a6800eb</t>
  </si>
  <si>
    <t>103220</t>
  </si>
  <si>
    <t>Пленка "Письмо"</t>
  </si>
  <si>
    <t>https://www.test.lavrpack.ru/local/templates/phoenix_v1/images_cache/thumbs/4f6070cd137f22f745f6952e0747d5dc.webp?v=1789992962</t>
  </si>
  <si>
    <t>bc20a207-1734-11ee-8f7e-00e01a6800eb#d3ee64c4-1734-11ee-8f7e-00e01a6800eb</t>
  </si>
  <si>
    <t>Белый (Серый)</t>
  </si>
  <si>
    <t>https://www.test.lavrpack.ru/local/templates/phoenix_v1/images_cache/thumbs/81f0e8873747208270a4b94cd70c7ac9.webp?v=1789992962</t>
  </si>
  <si>
    <t>162bf7b6-0910-11ef-9f05-00e01a6800eb#2c924a85-0910-11ef-9f05-00e01a6800eb</t>
  </si>
  <si>
    <t>107490</t>
  </si>
  <si>
    <t>Пленка Корейская матовая</t>
  </si>
  <si>
    <t>Розово-бежевый (01)</t>
  </si>
  <si>
    <t>50см×10м,</t>
  </si>
  <si>
    <t>https://www.test.lavrpack.ru/local/templates/phoenix_v1/images_cache/thumbs/abfe41166a1782b53b8249ff6ba47a2b.webp?v=1789992962</t>
  </si>
  <si>
    <t>162bf7b6-0910-11ef-9f05-00e01a6800eb#3642b8d9-0915-11ef-9f05-00e01a6800eb</t>
  </si>
  <si>
    <t>Серо-синий (49)</t>
  </si>
  <si>
    <t>https://www.test.lavrpack.ru/local/templates/phoenix_v1/images_cache/thumbs/93adf33a4d80b54c087de473d29ce214.webp?v=1789992962</t>
  </si>
  <si>
    <t>162bf7b6-0910-11ef-9f05-00e01a6800eb#adbc29fa-0915-11ef-9f05-00e01a6800eb</t>
  </si>
  <si>
    <t>Винный (56)</t>
  </si>
  <si>
    <t>https://www.test.lavrpack.ru/local/templates/phoenix_v1/images_cache/thumbs/b6d6c7f280f49eb5917e497ff8318761.webp?v=1789992962</t>
  </si>
  <si>
    <t>162bf7b6-0910-11ef-9f05-00e01a6800eb#f565a2e3-0910-11ef-9f05-00e01a6800eb</t>
  </si>
  <si>
    <t>Красный (12)</t>
  </si>
  <si>
    <t>https://www.test.lavrpack.ru/local/templates/phoenix_v1/images_cache/thumbs/9cdbf62b2284756eb12d256a5bbc5fd2.webp?v=1789992962</t>
  </si>
  <si>
    <t>162bf7b6-0910-11ef-9f05-00e01a6800eb#9b5cf483-0911-11ef-9f05-00e01a6800eb</t>
  </si>
  <si>
    <t>Хаки (15)</t>
  </si>
  <si>
    <t>https://www.test.lavrpack.ru/local/templates/phoenix_v1/images_cache/thumbs/75aefb879eb9886ba741dda183ac0f50.webp?v=1789992962</t>
  </si>
  <si>
    <t>162bf7b6-0910-11ef-9f05-00e01a6800eb#bc666d8b-0911-11ef-9f05-00e01a6800eb</t>
  </si>
  <si>
    <t>Черный (17)</t>
  </si>
  <si>
    <t>https://www.test.lavrpack.ru/local/templates/phoenix_v1/images_cache/thumbs/1dd90021e0cf71073eecb14e9a6fa3b6.webp?v=1789992962</t>
  </si>
  <si>
    <t>162bf7b6-0910-11ef-9f05-00e01a6800eb#c88c2eaf-0913-11ef-9f05-00e01a6800eb</t>
  </si>
  <si>
    <t>Светло-бежевый (37)</t>
  </si>
  <si>
    <t>https://www.test.lavrpack.ru/local/templates/phoenix_v1/images_cache/thumbs/498e468540d774db6f7a4bbcdf844a32.webp?v=1789992962</t>
  </si>
  <si>
    <t>162bf7b6-0910-11ef-9f05-00e01a6800eb#efcbbf28-0913-11ef-9f05-00e01a6800eb</t>
  </si>
  <si>
    <t>Лотос (40)</t>
  </si>
  <si>
    <t>https://www.test.lavrpack.ru/local/templates/phoenix_v1/images_cache/thumbs/b95c06c11f0ebdf78b0ce468c4a36ab7.webp?v=1789992962</t>
  </si>
  <si>
    <t>162bf7b6-0910-11ef-9f05-00e01a6800eb#61c21e2d-0915-11ef-9f05-00e01a6800eb</t>
  </si>
  <si>
    <t>Кофе с молоком (53)</t>
  </si>
  <si>
    <t>https://www.test.lavrpack.ru/local/templates/phoenix_v1/images_cache/thumbs/fcf99277b4fa5a2fbe71d92c52aa0f60.webp?v=1789992962</t>
  </si>
  <si>
    <t>162bf7b6-0910-11ef-9f05-00e01a6800eb#83b46062-0914-11ef-9f05-00e01a6800eb</t>
  </si>
  <si>
    <t>Морской (44)</t>
  </si>
  <si>
    <t>https://www.test.lavrpack.ru/local/templates/phoenix_v1/images_cache/thumbs/372937007a84f1ebfe2868dda0245592.webp?v=1789992962</t>
  </si>
  <si>
    <t>162bf7b6-0910-11ef-9f05-00e01a6800eb#56e8384a-0915-11ef-9f05-00e01a6800eb</t>
  </si>
  <si>
    <t>Клубничный (52)</t>
  </si>
  <si>
    <t>https://www.test.lavrpack.ru/local/templates/phoenix_v1/images_cache/thumbs/d0f41ebc03f8c774f49a45ec3bc44ccd.webp?v=1789992962</t>
  </si>
  <si>
    <t>162bf7b6-0910-11ef-9f05-00e01a6800eb#f45b1d3b-0915-11ef-9f05-00e01a6800eb</t>
  </si>
  <si>
    <t>Терракот (57)</t>
  </si>
  <si>
    <t>https://www.test.lavrpack.ru/local/templates/phoenix_v1/images_cache/thumbs/c3837965bb5e0b55bba17ccb2266e4de.webp?v=1789992962</t>
  </si>
  <si>
    <t>162bf7b6-0910-11ef-9f05-00e01a6800eb#e7c21e29-0911-11ef-9f05-00e01a6800eb</t>
  </si>
  <si>
    <t>Светло-розовый (18)</t>
  </si>
  <si>
    <t>https://www.test.lavrpack.ru/local/templates/phoenix_v1/images_cache/thumbs/17ad405e49f81e6cef8cfaed5a26b3cc.webp?v=1789992962</t>
  </si>
  <si>
    <t>162bf7b6-0910-11ef-9f05-00e01a6800eb#27278490-0912-11ef-9f05-00e01a6800eb</t>
  </si>
  <si>
    <t>Синий (23)</t>
  </si>
  <si>
    <t>https://www.test.lavrpack.ru/local/templates/phoenix_v1/images_cache/thumbs/79581851609726df4cfac153504dbe22.webp?v=1789992962</t>
  </si>
  <si>
    <t>162bf7b6-0910-11ef-9f05-00e01a6800eb#35f2b1e4-0912-11ef-9f05-00e01a6800eb</t>
  </si>
  <si>
    <t>Кофейный (25)</t>
  </si>
  <si>
    <t>https://www.test.lavrpack.ru/local/templates/phoenix_v1/images_cache/thumbs/a0bb63ebe6eb90e44d8c9f0283067bcd.webp?v=1789992962</t>
  </si>
  <si>
    <t>162bf7b6-0910-11ef-9f05-00e01a6800eb#94708f34-0913-11ef-9f05-00e01a6800eb</t>
  </si>
  <si>
    <t>Желтый (34)</t>
  </si>
  <si>
    <t>https://www.test.lavrpack.ru/local/templates/phoenix_v1/images_cache/thumbs/8708fd1cf262aa0cf2fbc294299003a7.webp?v=1789992962</t>
  </si>
  <si>
    <t>162bf7b6-0910-11ef-9f05-00e01a6800eb#b2499072-0913-11ef-9f05-00e01a6800eb</t>
  </si>
  <si>
    <t>Корейская-пудра (36)</t>
  </si>
  <si>
    <t>https://www.test.lavrpack.ru/local/templates/phoenix_v1/images_cache/thumbs/18aaadada1012f651869853f4c25bb61.webp?v=1789992962</t>
  </si>
  <si>
    <t>162bf7b6-0910-11ef-9f05-00e01a6800eb#199f2a9d-0915-11ef-9f05-00e01a6800eb</t>
  </si>
  <si>
    <t>Бледно-зеленый (47)</t>
  </si>
  <si>
    <t>https://www.test.lavrpack.ru/local/templates/phoenix_v1/images_cache/thumbs/6e4f725e21acf918cdd8fbbbe44bb56e.webp?v=1789992962</t>
  </si>
  <si>
    <t>162bf7b6-0910-11ef-9f05-00e01a6800eb#399c2633-0916-11ef-9f05-00e01a6800eb</t>
  </si>
  <si>
    <t>Серо-фиолетовый (61)</t>
  </si>
  <si>
    <t>https://www.test.lavrpack.ru/local/templates/phoenix_v1/images_cache/thumbs/75d23de57a28251abcbc872f617674a3.webp?v=1789992962</t>
  </si>
  <si>
    <t>162bf7b6-0910-11ef-9f05-00e01a6800eb#422edb39-0916-11ef-9f05-00e01a6800eb</t>
  </si>
  <si>
    <t>Персиковый (62)</t>
  </si>
  <si>
    <t>https://www.test.lavrpack.ru/local/templates/phoenix_v1/images_cache/thumbs/3b630a4ab53fa00039b7335438b7a7ee.webp?v=1789992962</t>
  </si>
  <si>
    <t>162bf7b6-0910-11ef-9f05-00e01a6800eb#a59d1cbb-0913-11ef-9f05-00e01a6800eb</t>
  </si>
  <si>
    <t>Бледно-розовый (35)</t>
  </si>
  <si>
    <t>https://www.test.lavrpack.ru/local/templates/phoenix_v1/images_cache/thumbs/6b8b0c1b39e12ceb4f749d7260c9bfc3.webp?v=1789992962</t>
  </si>
  <si>
    <t>162bf7b6-0910-11ef-9f05-00e01a6800eb#dabd1a32-0910-11ef-9f05-00e01a6800eb</t>
  </si>
  <si>
    <t>Сливовый (11)</t>
  </si>
  <si>
    <t>https://www.test.lavrpack.ru/local/templates/phoenix_v1/images_cache/thumbs/50c74c3c980a51fe29d6a12ec79b699b.webp?v=1789992962</t>
  </si>
  <si>
    <t>162bf7b6-0910-11ef-9f05-00e01a6800eb#afcaa397-0911-11ef-9f05-00e01a6800eb</t>
  </si>
  <si>
    <t>Нежно-зеленый (16)</t>
  </si>
  <si>
    <t>https://www.test.lavrpack.ru/local/templates/phoenix_v1/images_cache/thumbs/2569b42e98726da912302ae6b5fd877d.webp?v=1789992962</t>
  </si>
  <si>
    <t>162bf7b6-0910-11ef-9f05-00e01a6800eb#fb122878-0911-11ef-9f05-00e01a6800eb</t>
  </si>
  <si>
    <t>Розовый (20)</t>
  </si>
  <si>
    <t>https://www.test.lavrpack.ru/local/templates/phoenix_v1/images_cache/thumbs/f3cc8e9776806777101f71950b99eb61.webp?v=1789992962</t>
  </si>
  <si>
    <t>162bf7b6-0910-11ef-9f05-00e01a6800eb#340c1d2a-0910-11ef-9f05-00e01a6800eb</t>
  </si>
  <si>
    <t>Пепельная-пудра (02)</t>
  </si>
  <si>
    <t>https://www.test.lavrpack.ru/local/templates/phoenix_v1/images_cache/thumbs/18a15433556a1b3fad24b9c790d6c376.webp?v=1789992962</t>
  </si>
  <si>
    <t>162bf7b6-0910-11ef-9f05-00e01a6800eb#38522e8a-0913-11ef-9f05-00e01a6800eb</t>
  </si>
  <si>
    <t>Ледяной чай (28)</t>
  </si>
  <si>
    <t>https://www.test.lavrpack.ru/local/templates/phoenix_v1/images_cache/thumbs/b81886b18157c5453f782009d5370098.webp?v=1789992962</t>
  </si>
  <si>
    <t>162bf7b6-0910-11ef-9f05-00e01a6800eb#78f8ee37-0913-11ef-9f05-00e01a6800eb</t>
  </si>
  <si>
    <t>Лимон (32)</t>
  </si>
  <si>
    <t>https://www.test.lavrpack.ru/local/templates/phoenix_v1/images_cache/thumbs/a9a96d14247b9259e9c0bda194caaf70.webp?v=1789992962</t>
  </si>
  <si>
    <t>162bf7b6-0910-11ef-9f05-00e01a6800eb#287fc444-0915-11ef-9f05-00e01a6800eb</t>
  </si>
  <si>
    <t>Бирюза (48)</t>
  </si>
  <si>
    <t>https://www.test.lavrpack.ru/local/templates/phoenix_v1/images_cache/thumbs/42cb0fed1a3848a1d3ff7c48f2635187.webp?v=1789992962</t>
  </si>
  <si>
    <t>162bf7b6-0910-11ef-9f05-00e01a6800eb#a23ba3c7-0915-11ef-9f05-00e01a6800eb</t>
  </si>
  <si>
    <t>Графит (55)</t>
  </si>
  <si>
    <t>https://www.test.lavrpack.ru/local/templates/phoenix_v1/images_cache/thumbs/a65cc89a5b998d7c5827649b205170ee.webp?v=1789992962</t>
  </si>
  <si>
    <t>162bf7b6-0910-11ef-9f05-00e01a6800eb#3123a09a-0916-11ef-9f05-00e01a6800eb</t>
  </si>
  <si>
    <t>Лиловый (60)</t>
  </si>
  <si>
    <t>https://www.test.lavrpack.ru/local/templates/phoenix_v1/images_cache/thumbs/d26d2bc2405b4d927726342bc6cae8c6.webp?v=1789992962</t>
  </si>
  <si>
    <t>162bf7b6-0910-11ef-9f05-00e01a6800eb#67ff59b9-0915-11ef-9f05-00e01a6800eb</t>
  </si>
  <si>
    <t>Бронза (54)</t>
  </si>
  <si>
    <t>https://www.test.lavrpack.ru/local/templates/phoenix_v1/images_cache/thumbs/31c58dc1a8709f9d49d4cd2f8a64d437.webp?v=1789992962</t>
  </si>
  <si>
    <t>162bf7b6-0910-11ef-9f05-00e01a6800eb#46f5cbf4-0910-11ef-9f05-00e01a6800eb</t>
  </si>
  <si>
    <t>Светло-серый (03)</t>
  </si>
  <si>
    <t>https://www.test.lavrpack.ru/local/templates/phoenix_v1/images_cache/thumbs/fbf318ba98f683a5be9871cbb6c75d17.webp?v=1789992962</t>
  </si>
  <si>
    <t>162bf7b6-0910-11ef-9f05-00e01a6800eb#aa08b1fa-0910-11ef-9f05-00e01a6800eb</t>
  </si>
  <si>
    <t>https://www.test.lavrpack.ru/local/templates/phoenix_v1/images_cache/thumbs/6a82b5065715b1afbc7d48126c937d85.webp?v=1789992962</t>
  </si>
  <si>
    <t>162bf7b6-0910-11ef-9f05-00e01a6800eb#86427caf-0913-11ef-9f05-00e01a6800eb</t>
  </si>
  <si>
    <t>Мандарин (33)</t>
  </si>
  <si>
    <t>https://www.test.lavrpack.ru/local/templates/phoenix_v1/images_cache/thumbs/d5ea653a10fbb7bde0d117ad55542c6a.webp?v=1789992962</t>
  </si>
  <si>
    <t>162bf7b6-0910-11ef-9f05-00e01a6800eb#def4e319-0913-11ef-9f05-00e01a6800eb</t>
  </si>
  <si>
    <t>Серо-бежевый (39)</t>
  </si>
  <si>
    <t>https://www.test.lavrpack.ru/local/templates/phoenix_v1/images_cache/thumbs/f32d2a1c7501a2bf95e23940a09c1139.webp?v=1789992962</t>
  </si>
  <si>
    <t>162bf7b6-0910-11ef-9f05-00e01a6800eb#40e84073-0915-11ef-9f05-00e01a6800eb</t>
  </si>
  <si>
    <t>Бело-лиловый (50)</t>
  </si>
  <si>
    <t>https://www.test.lavrpack.ru/local/templates/phoenix_v1/images_cache/thumbs/8a7a61af6edfae29418e5b8a00f87862.webp?v=1789992962</t>
  </si>
  <si>
    <t>162bf7b6-0910-11ef-9f05-00e01a6800eb#2e84c657-0912-11ef-9f05-00e01a6800eb</t>
  </si>
  <si>
    <t>Пудра (24)</t>
  </si>
  <si>
    <t>https://www.test.lavrpack.ru/local/templates/phoenix_v1/images_cache/thumbs/c6946a6322ee793443466921ba04ef5e.webp?v=1789992962</t>
  </si>
  <si>
    <t>162bf7b6-0910-11ef-9f05-00e01a6800eb#456319d1-0914-11ef-9f05-00e01a6800eb</t>
  </si>
  <si>
    <t>Дыня (41)</t>
  </si>
  <si>
    <t>https://www.test.lavrpack.ru/local/templates/phoenix_v1/images_cache/thumbs/f761f3cf182048765614b69538d5295c.webp?v=1789992962</t>
  </si>
  <si>
    <t>162bf7b6-0910-11ef-9f05-00e01a6800eb#b5840bc7-0914-11ef-9f05-00e01a6800eb</t>
  </si>
  <si>
    <t>Зеленое яблоко (46)</t>
  </si>
  <si>
    <t>https://www.test.lavrpack.ru/local/templates/phoenix_v1/images_cache/thumbs/de47d8ea77aa904704c1d34e189f87c9.webp?v=1789992962</t>
  </si>
  <si>
    <t>162bf7b6-0910-11ef-9f05-00e01a6800eb#d43613e5-0910-11ef-9f05-00e01a6800eb</t>
  </si>
  <si>
    <t>Бордо (10)</t>
  </si>
  <si>
    <t>https://www.test.lavrpack.ru/local/templates/phoenix_v1/images_cache/thumbs/963069ad3cb7ca2884a29e6584b77765.webp?v=1789992962</t>
  </si>
  <si>
    <t>162bf7b6-0910-11ef-9f05-00e01a6800eb#93c69190-0911-11ef-9f05-00e01a6800eb</t>
  </si>
  <si>
    <t>Фиолетовый (14)</t>
  </si>
  <si>
    <t>https://www.test.lavrpack.ru/local/templates/phoenix_v1/images_cache/thumbs/754d1da890daf77d8335d30ab26dc9f5.webp?v=1789992962</t>
  </si>
  <si>
    <t>162bf7b6-0910-11ef-9f05-00e01a6800eb#093b7803-0912-11ef-9f05-00e01a6800eb</t>
  </si>
  <si>
    <t>Оливковый (21)</t>
  </si>
  <si>
    <t>https://www.test.lavrpack.ru/local/templates/phoenix_v1/images_cache/thumbs/c5e49be55a5b8b53cc0e1eac07a723e3.webp?v=1789992962</t>
  </si>
  <si>
    <t>162bf7b6-0910-11ef-9f05-00e01a6800eb#4aa29ddc-0916-11ef-9f05-00e01a6800eb</t>
  </si>
  <si>
    <t>Белый (63)</t>
  </si>
  <si>
    <t>https://www.test.lavrpack.ru/local/templates/phoenix_v1/images_cache/thumbs/43b79034d461d57e94cd522a40b35190.webp?v=1789992962</t>
  </si>
  <si>
    <t>162bf7b6-0910-11ef-9f05-00e01a6800eb#ee5c2f3e-0911-11ef-9f05-00e01a6800eb</t>
  </si>
  <si>
    <t>Песочный (19)</t>
  </si>
  <si>
    <t>https://www.test.lavrpack.ru/local/templates/phoenix_v1/images_cache/thumbs/1a0b5f16b78c31860b84f1c507fb1cf3.webp?v=1789992962</t>
  </si>
  <si>
    <t>162bf7b6-0910-11ef-9f05-00e01a6800eb#4a27bdb4-0913-11ef-9f05-00e01a6800eb</t>
  </si>
  <si>
    <t>Крем (29)</t>
  </si>
  <si>
    <t>https://www.test.lavrpack.ru/local/templates/phoenix_v1/images_cache/thumbs/1d3c5215af8c5a44eb8fadf9ab18c3df.webp?v=1789992962</t>
  </si>
  <si>
    <t>162bf7b6-0910-11ef-9f05-00e01a6800eb#0eb13dbc-0913-11ef-9f05-00e01a6800eb</t>
  </si>
  <si>
    <t>Сакура (27)</t>
  </si>
  <si>
    <t>https://www.test.lavrpack.ru/local/templates/phoenix_v1/images_cache/thumbs/5bc9a460d56619e143a589db86c7a73a.webp?v=1789992962</t>
  </si>
  <si>
    <t>162bf7b6-0910-11ef-9f05-00e01a6800eb#d60a1b4e-0913-11ef-9f05-00e01a6800eb</t>
  </si>
  <si>
    <t>Тиффани (38)</t>
  </si>
  <si>
    <t>https://www.test.lavrpack.ru/local/templates/phoenix_v1/images_cache/thumbs/f1990a5bdbc13d2fa97c8efbeef8897e.webp?v=1789992962</t>
  </si>
  <si>
    <t>162bf7b6-0910-11ef-9f05-00e01a6800eb#4d2010cf-0915-11ef-9f05-00e01a6800eb</t>
  </si>
  <si>
    <t>Розово-лиловый (51)</t>
  </si>
  <si>
    <t>https://www.test.lavrpack.ru/local/templates/phoenix_v1/images_cache/thumbs/d23c9490ab11560f5f3a80d65514be0a.webp?v=1789992962</t>
  </si>
  <si>
    <t>162bf7b6-0910-11ef-9f05-00e01a6800eb#24583b21-0916-11ef-9f05-00e01a6800eb</t>
  </si>
  <si>
    <t>Красная роза (59)</t>
  </si>
  <si>
    <t>https://www.test.lavrpack.ru/local/templates/phoenix_v1/images_cache/thumbs/a9f138899b6811972e9a43548623dbf5.webp?v=1789992962</t>
  </si>
  <si>
    <t>162bf7b6-0910-11ef-9f05-00e01a6800eb#b7af15e9-0910-11ef-9f05-00e01a6800eb</t>
  </si>
  <si>
    <t>Бежевый (08)</t>
  </si>
  <si>
    <t>https://www.test.lavrpack.ru/local/templates/phoenix_v1/images_cache/thumbs/b94a2d4dc14a48bda93343b1e7f433b6.webp?v=1789992962</t>
  </si>
  <si>
    <t>162bf7b6-0910-11ef-9f05-00e01a6800eb#cc9fb0da-0910-11ef-9f05-00e01a6800eb</t>
  </si>
  <si>
    <t>https://www.test.lavrpack.ru/local/templates/phoenix_v1/images_cache/thumbs/7e4e7de6583e9b9485cc04874b8803c7.webp?v=1789992962</t>
  </si>
  <si>
    <t>162bf7b6-0910-11ef-9f05-00e01a6800eb#6a34e504-0913-11ef-9f05-00e01a6800eb</t>
  </si>
  <si>
    <t>Зеленый чай (31)</t>
  </si>
  <si>
    <t>https://www.test.lavrpack.ru/local/templates/phoenix_v1/images_cache/thumbs/5214b7c4ed5fe055e0f870cb57de4481.webp?v=1789992962</t>
  </si>
  <si>
    <t>162bf7b6-0910-11ef-9f05-00e01a6800eb#6f3868d4-0914-11ef-9f05-00e01a6800eb</t>
  </si>
  <si>
    <t>Лазурно-синий (43)</t>
  </si>
  <si>
    <t>https://www.test.lavrpack.ru/local/templates/phoenix_v1/images_cache/thumbs/2e8f374419d2b486a9038e819fa3f13f.webp?v=1789992962</t>
  </si>
  <si>
    <t>162bf7b6-0910-11ef-9f05-00e01a6800eb#94d76856-0914-11ef-9f05-00e01a6800eb</t>
  </si>
  <si>
    <t>Серо-голубой (45)</t>
  </si>
  <si>
    <t>https://www.test.lavrpack.ru/local/templates/phoenix_v1/images_cache/thumbs/21d74fea9cf55484ba866b8b6730b78e.webp?v=1789992962</t>
  </si>
  <si>
    <t>162bf7b6-0910-11ef-9f05-00e01a6800eb#58be8cd3-0913-11ef-9f05-00e01a6800eb</t>
  </si>
  <si>
    <t>Телесно-розовый (30)</t>
  </si>
  <si>
    <t>https://www.test.lavrpack.ru/local/templates/phoenix_v1/images_cache/thumbs/0ab7bc32ebc1cc029cccf2abadabc6bb.webp?v=1789992962</t>
  </si>
  <si>
    <t>162bf7b6-0910-11ef-9f05-00e01a6800eb#19186397-0912-11ef-9f05-00e01a6800eb</t>
  </si>
  <si>
    <t>Кремово-белый (22)</t>
  </si>
  <si>
    <t>https://www.test.lavrpack.ru/local/templates/phoenix_v1/images_cache/thumbs/c31db00584362058aaeaa9ecd4aa97a4.webp?v=1789992962</t>
  </si>
  <si>
    <t>162bf7b6-0910-11ef-9f05-00e01a6800eb#fe053a70-0912-11ef-9f05-00e01a6800eb</t>
  </si>
  <si>
    <t>Пепельно-розовый (26)</t>
  </si>
  <si>
    <t>https://www.test.lavrpack.ru/local/templates/phoenix_v1/images_cache/thumbs/c54a7849660c510077f0d540e674fda3.webp?v=1789992962</t>
  </si>
  <si>
    <t>162bf7b6-0910-11ef-9f05-00e01a6800eb#64ad79de-0910-11ef-9f05-00e01a6800eb</t>
  </si>
  <si>
    <t>Абрикос (05)</t>
  </si>
  <si>
    <t>https://www.test.lavrpack.ru/local/templates/phoenix_v1/images_cache/thumbs/b76cf49f5f69eb84b3d1da72962b099c.webp?v=1789992962</t>
  </si>
  <si>
    <t>162bf7b6-0910-11ef-9f05-00e01a6800eb#865bb0d0-0911-11ef-9f05-00e01a6800eb</t>
  </si>
  <si>
    <t>Серый (13)</t>
  </si>
  <si>
    <t>https://www.test.lavrpack.ru/local/templates/phoenix_v1/images_cache/thumbs/b80ae829ce776c675d35cbc572a1c7c2.webp?v=1789992962</t>
  </si>
  <si>
    <t>162bf7b6-0910-11ef-9f05-00e01a6800eb#560cbbbd-0914-11ef-9f05-00e01a6800eb</t>
  </si>
  <si>
    <t>Сапфировый (42)</t>
  </si>
  <si>
    <t>https://www.test.lavrpack.ru/local/templates/phoenix_v1/images_cache/thumbs/6e4520a0092bc80fbe0e4baf56ab81c3.webp?v=1789992962</t>
  </si>
  <si>
    <t>162bf7b6-0910-11ef-9f05-00e01a6800eb#1acdf748-0916-11ef-9f05-00e01a6800eb</t>
  </si>
  <si>
    <t>Коралл (58)</t>
  </si>
  <si>
    <t>https://www.test.lavrpack.ru/local/templates/phoenix_v1/images_cache/thumbs/353d7b2a98a38105cc03c6164ab9f5a8.webp?v=1789992962</t>
  </si>
  <si>
    <t>162bf7b6-0910-11ef-9f05-00e01a6800eb#56e5c305-0910-11ef-9f05-00e01a6800eb</t>
  </si>
  <si>
    <t>Серо-зеленый (04)</t>
  </si>
  <si>
    <t>https://www.test.lavrpack.ru/local/templates/phoenix_v1/images_cache/thumbs/46ed9e727acd6961193f5d4f5c81b2c8.webp?v=1789992962</t>
  </si>
  <si>
    <t>162bf7b6-0910-11ef-9f05-00e01a6800eb#73f9315d-0910-11ef-9f05-00e01a6800eb</t>
  </si>
  <si>
    <t>Светло-фиолетовый (06)</t>
  </si>
  <si>
    <t>https://www.test.lavrpack.ru/local/templates/phoenix_v1/images_cache/thumbs/2b50d767b6aa5a6d2d153a5fa21d5415.webp?v=1789992962</t>
  </si>
  <si>
    <t>bc68c5c9-e1c9-11ee-9f05-00e01a6800eb#c67d9769-e1ca-11ee-9f05-00e01a6800eb</t>
  </si>
  <si>
    <t>106744</t>
  </si>
  <si>
    <t>Пленка матов./золото</t>
  </si>
  <si>
    <t>Китай, Бирюзовый</t>
  </si>
  <si>
    <t>58см×10м.,</t>
  </si>
  <si>
    <t>https://www.test.lavrpack.ru/local/templates/phoenix_v1/images_cache/thumbs/daf5c931077aa8351073f2475c185455.webp?v=1789992962</t>
  </si>
  <si>
    <t>bc68c5c9-e1c9-11ee-9f05-00e01a6800eb#7f03a56b-e1ca-11ee-9f05-00e01a6800eb</t>
  </si>
  <si>
    <t>Китай, Пастельный</t>
  </si>
  <si>
    <t>https://www.test.lavrpack.ru/local/templates/phoenix_v1/images_cache/thumbs/37a34a51da291170a32626ccffb1ff04.webp?v=1789992962</t>
  </si>
  <si>
    <t>beca3b40-7c3f-11f0-ab48-22344d083d2c#c5a5c1a2-7c3f-11f0-ab48-22344d083d2c</t>
  </si>
  <si>
    <t>114175</t>
  </si>
  <si>
    <t>Пленка матовая</t>
  </si>
  <si>
    <t>Россия, Олива</t>
  </si>
  <si>
    <t>"Кайма полутон" 60см×200гр</t>
  </si>
  <si>
    <t>https://www.test.lavrpack.ru/local/templates/phoenix_v1/images_cache/thumbs/d9ca19732de54439f7d82e4cae857311.webp?v=1789992962</t>
  </si>
  <si>
    <t>98215863-31fc-11ee-9127-00e01a6800eb#e13415cc-eac5-11ef-ab3d-22344d083d2c</t>
  </si>
  <si>
    <t>103467</t>
  </si>
  <si>
    <t>Россия, крем</t>
  </si>
  <si>
    <t>"Кайма" 60см×200гр</t>
  </si>
  <si>
    <t>https://www.test.lavrpack.ru/local/templates/phoenix_v1/images_cache/thumbs/0813f77b43feaa1fd053e59880262b91.webp?v=1789992962</t>
  </si>
  <si>
    <t>98215863-31fc-11ee-9127-00e01a6800eb#a5e44cf8-31fc-11ee-9127-00e01a6800eb</t>
  </si>
  <si>
    <t>https://www.test.lavrpack.ru/local/templates/phoenix_v1/images_cache/thumbs/4e8f7cd47071fc85c0d9c2768248c26e.webp?v=1789992962</t>
  </si>
  <si>
    <t>98215863-31fc-11ee-9127-00e01a6800eb#bb106a48-31fc-11ee-9127-00e01a6800eb</t>
  </si>
  <si>
    <t>https://www.test.lavrpack.ru/local/templates/phoenix_v1/images_cache/thumbs/11e76c9ed9f59d9259f6a94a8ffc1b3c.webp?v=1789992962</t>
  </si>
  <si>
    <t>98215863-31fc-11ee-9127-00e01a6800eb#d3ad688c-eac5-11ef-ab3d-22344d083d2c</t>
  </si>
  <si>
    <t>Россия, розовый</t>
  </si>
  <si>
    <t>https://www.test.lavrpack.ru/local/templates/phoenix_v1/images_cache/thumbs/b3cd08f713b04ce28c4392d2374304dd.webp?v=1789992962</t>
  </si>
  <si>
    <t>98215863-31fc-11ee-9127-00e01a6800eb#c5c1d8c3-31fc-11ee-9127-00e01a6800eb</t>
  </si>
  <si>
    <t>Россия, сирень</t>
  </si>
  <si>
    <t>https://www.test.lavrpack.ru/local/templates/phoenix_v1/images_cache/thumbs/bec9022722d5d0878b9589fb7493453f.webp?v=1789992962</t>
  </si>
  <si>
    <t>4a2f26fb-31fd-11ee-9127-00e01a6800eb#4a2f2720-31fd-11ee-9127-00e01a6800eb</t>
  </si>
  <si>
    <t>103468</t>
  </si>
  <si>
    <t>"Полоса" 60см×200гр</t>
  </si>
  <si>
    <t>https://www.test.lavrpack.ru/local/templates/phoenix_v1/images_cache/thumbs/6bdc11cf0b4192386502d1aefb5f8683.webp?v=1789992962</t>
  </si>
  <si>
    <t>4a2f26fb-31fd-11ee-9127-00e01a6800eb#6605fec9-31fd-11ee-9127-00e01a6800eb</t>
  </si>
  <si>
    <t>https://www.test.lavrpack.ru/local/templates/phoenix_v1/images_cache/thumbs/bbc7503c00f0fb3cd9eee602f7064080.webp?v=1789992962</t>
  </si>
  <si>
    <t>4a2f26fb-31fd-11ee-9127-00e01a6800eb#4a2f2722-31fd-11ee-9127-00e01a6800eb</t>
  </si>
  <si>
    <t>https://www.test.lavrpack.ru/local/templates/phoenix_v1/images_cache/thumbs/78ba069a38bd634cb80458dd1bd5b6f2.webp?v=1789992962</t>
  </si>
  <si>
    <t>4a2f26fb-31fd-11ee-9127-00e01a6800eb#4a2f2721-31fd-11ee-9127-00e01a6800eb</t>
  </si>
  <si>
    <t>https://www.test.lavrpack.ru/local/templates/phoenix_v1/images_cache/thumbs/c1343e53adb9195c6a73306b50a4c999.webp?v=1789992962</t>
  </si>
  <si>
    <t>26be10f3-7cea-11f0-ab48-22344d083d2c#2f67e0ab-7cea-11f0-ab48-22344d083d2c</t>
  </si>
  <si>
    <t>114220</t>
  </si>
  <si>
    <t>"Рукопись" 60см×200гр</t>
  </si>
  <si>
    <t>9a1dedfc-d611-11ee-a0ad-00e01a6800eb#b9f6b707-d611-11ee-a0ad-00e01a6800eb</t>
  </si>
  <si>
    <t>106479</t>
  </si>
  <si>
    <t>"Ажур"60см×200гр</t>
  </si>
  <si>
    <t>https://www.test.lavrpack.ru/local/templates/phoenix_v1/images_cache/thumbs/937b7d82481305f919498c64d00c14db.webp?v=1789992962</t>
  </si>
  <si>
    <t>9a1dedfc-d611-11ee-a0ad-00e01a6800eb#b1320564-d611-11ee-a0ad-00e01a6800eb</t>
  </si>
  <si>
    <t>https://www.test.lavrpack.ru/local/templates/phoenix_v1/images_cache/thumbs/3ce7df95d06e4a4e8b436227887121b3.webp?v=1789992962</t>
  </si>
  <si>
    <t>c7c59074-cfbb-11ee-a0ad-00e01a6800eb#dc37659c-cfbf-11ee-a0ad-00e01a6800eb</t>
  </si>
  <si>
    <t>106312</t>
  </si>
  <si>
    <t>Серый/розовый горох</t>
  </si>
  <si>
    <t>"Горох" 58см×10м</t>
  </si>
  <si>
    <t>https://www.test.lavrpack.ru/local/templates/phoenix_v1/images_cache/thumbs/b543185949691b9d4117e3f0c87df358.webp?v=1789992962</t>
  </si>
  <si>
    <t>c7c59074-cfbb-11ee-a0ad-00e01a6800eb#1fc05e34-cfc0-11ee-a0ad-00e01a6800eb</t>
  </si>
  <si>
    <t>Пион/серый горох</t>
  </si>
  <si>
    <t>https://www.test.lavrpack.ru/local/templates/phoenix_v1/images_cache/thumbs/3c02803b3022c2d0c0155c57cd15aca5.webp?v=1789992962</t>
  </si>
  <si>
    <t>c7c59074-cfbb-11ee-a0ad-00e01a6800eb#58f60f61-edce-11ee-9f05-00e01a6800eb</t>
  </si>
  <si>
    <t>Розовый/белый горох</t>
  </si>
  <si>
    <t>https://www.test.lavrpack.ru/local/templates/phoenix_v1/images_cache/thumbs/94e8fa37285197e864e80156a5ec420e.webp?v=1789992962</t>
  </si>
  <si>
    <t>c7c59074-cfbb-11ee-a0ad-00e01a6800eb#f9b853f2-cfbf-11ee-a0ad-00e01a6800eb</t>
  </si>
  <si>
    <t>Светло розовый/серый горох</t>
  </si>
  <si>
    <t>https://www.test.lavrpack.ru/local/templates/phoenix_v1/images_cache/thumbs/5d65c23b42065279e72e943216476bc9.webp?v=1789992962</t>
  </si>
  <si>
    <t>c7c59074-cfbb-11ee-a0ad-00e01a6800eb#2fbe9d0b-cfc0-11ee-a0ad-00e01a6800eb</t>
  </si>
  <si>
    <t>Красный/белый горох</t>
  </si>
  <si>
    <t>https://www.test.lavrpack.ru/local/templates/phoenix_v1/images_cache/thumbs/6ded4c90e08f3e351aa106b0b9e3f4bd.webp?v=1790033754</t>
  </si>
  <si>
    <t>c7c59074-cfbb-11ee-a0ad-00e01a6800eb#ddfc2a74-4d25-11f1-ab50-22344d083d2c</t>
  </si>
  <si>
    <t>Оливковый/белый горох</t>
  </si>
  <si>
    <t>c7c59074-cfbb-11ee-a0ad-00e01a6800eb#5e1b1704-8508-11f1-ab51-22344d083d2c</t>
  </si>
  <si>
    <t>Винный/белый горох</t>
  </si>
  <si>
    <t>c7c59074-cfbb-11ee-a0ad-00e01a6800eb#5c2655ee-cfbf-11ee-a0ad-00e01a6800eb</t>
  </si>
  <si>
    <t>Сиреневый/белый горох</t>
  </si>
  <si>
    <t>https://www.test.lavrpack.ru/local/templates/phoenix_v1/images_cache/thumbs/707319a19ab2f87f75b0871109faa182.webp?v=1789992962</t>
  </si>
  <si>
    <t>c7c59074-cfbb-11ee-a0ad-00e01a6800eb#d0cc5413-4d25-11f1-ab50-22344d083d2c</t>
  </si>
  <si>
    <t>Светло-розовый/чёрный горох</t>
  </si>
  <si>
    <t>6827aef6-d610-11ee-a0ad-00e01a6800eb#a070182c-d610-11ee-a0ad-00e01a6800eb</t>
  </si>
  <si>
    <t>106478</t>
  </si>
  <si>
    <t>"Горошек"60см×200гр</t>
  </si>
  <si>
    <t>https://www.test.lavrpack.ru/local/templates/phoenix_v1/images_cache/thumbs/8cd289d21448652d0289c883082000af.webp?v=1789992962</t>
  </si>
  <si>
    <t>6827aef6-d610-11ee-a0ad-00e01a6800eb#77084907-d610-11ee-a0ad-00e01a6800eb</t>
  </si>
  <si>
    <t>https://www.test.lavrpack.ru/local/templates/phoenix_v1/images_cache/thumbs/496392251946c8353959dbc2203c86db.webp?v=1789992962</t>
  </si>
  <si>
    <t>6827aef6-d610-11ee-a0ad-00e01a6800eb#a69a48a5-d610-11ee-a0ad-00e01a6800eb</t>
  </si>
  <si>
    <t>https://www.test.lavrpack.ru/local/templates/phoenix_v1/images_cache/thumbs/843391ac39c58125c2bb248852090337.webp?v=1789992962</t>
  </si>
  <si>
    <t>6827aef6-d610-11ee-a0ad-00e01a6800eb#c067d31b-d610-11ee-a0ad-00e01a6800eb</t>
  </si>
  <si>
    <t>https://www.test.lavrpack.ru/local/templates/phoenix_v1/images_cache/thumbs/2a8c61bdbb5483a04c9b085e8c0527c8.webp?v=1789992962</t>
  </si>
  <si>
    <t>6827aef6-d610-11ee-a0ad-00e01a6800eb#c6d4aa3d-d610-11ee-a0ad-00e01a6800eb</t>
  </si>
  <si>
    <t>Россия, Золото</t>
  </si>
  <si>
    <t>https://www.test.lavrpack.ru/local/templates/phoenix_v1/images_cache/thumbs/4e7065725d3a7705c2e004b5fa7aaa1e.webp?v=1789992962</t>
  </si>
  <si>
    <t>6827aef6-d610-11ee-a0ad-00e01a6800eb#b98d7c83-d610-11ee-a0ad-00e01a6800eb</t>
  </si>
  <si>
    <t>https://www.test.lavrpack.ru/local/templates/phoenix_v1/images_cache/thumbs/f38a4c1da483cf24afc0803997870da0.webp?v=1789992962</t>
  </si>
  <si>
    <t>6827aef6-d610-11ee-a0ad-00e01a6800eb#acd9e55e-d610-11ee-a0ad-00e01a6800eb</t>
  </si>
  <si>
    <t>Россия, Марсала</t>
  </si>
  <si>
    <t>https://www.test.lavrpack.ru/local/templates/phoenix_v1/images_cache/thumbs/58d3127bb47c754498c8212fdb36eaa4.webp?v=1789992962</t>
  </si>
  <si>
    <t>6827aef6-d610-11ee-a0ad-00e01a6800eb#8cf796af-d610-11ee-a0ad-00e01a6800eb</t>
  </si>
  <si>
    <t>https://www.test.lavrpack.ru/local/templates/phoenix_v1/images_cache/thumbs/39955a9b9ed71b1564d3d725487ede3d.webp?v=1789992962</t>
  </si>
  <si>
    <t>6827aef6-d610-11ee-a0ad-00e01a6800eb#ce3b7184-d610-11ee-a0ad-00e01a6800eb</t>
  </si>
  <si>
    <t>https://www.test.lavrpack.ru/local/templates/phoenix_v1/images_cache/thumbs/26b95d4138d8cb9cccc402948305a9ec.webp?v=1789992962</t>
  </si>
  <si>
    <t>ea285eab-3d3e-11f0-ab41-22344d083d2c#43d63210-3d3f-11f0-ab41-22344d083d2c</t>
  </si>
  <si>
    <t>113015</t>
  </si>
  <si>
    <t>Крем</t>
  </si>
  <si>
    <t>"Диагональ" 60см×200гр</t>
  </si>
  <si>
    <t>https://www.test.lavrpack.ru/local/templates/phoenix_v1/images_cache/thumbs/b367d4d889a7f2f98baaa9e433404dba.webp?v=1789992962</t>
  </si>
  <si>
    <t>ea285eab-3d3e-11f0-ab41-22344d083d2c#49cd7f6d-3d3f-11f0-ab41-22344d083d2c</t>
  </si>
  <si>
    <t>https://www.test.lavrpack.ru/local/templates/phoenix_v1/images_cache/thumbs/0650b4a7cf7b5215f0d6d68496319372.webp?v=1789992962</t>
  </si>
  <si>
    <t>ea285eab-3d3e-11f0-ab41-22344d083d2c#560b8199-3d3f-11f0-ab41-22344d083d2c</t>
  </si>
  <si>
    <t>Сирень</t>
  </si>
  <si>
    <t>https://www.test.lavrpack.ru/local/templates/phoenix_v1/images_cache/thumbs/20c3718b3712dccbf004a8b77788a805.webp?v=1789992962</t>
  </si>
  <si>
    <t>ea285eab-3d3e-11f0-ab41-22344d083d2c#02573465-3d3f-11f0-ab41-22344d083d2c</t>
  </si>
  <si>
    <t>https://www.test.lavrpack.ru/local/templates/phoenix_v1/images_cache/thumbs/bcd5d3b9ebc79587c84bf1b1363de568.webp?v=1789992962</t>
  </si>
  <si>
    <t>ea285eab-3d3e-11f0-ab41-22344d083d2c#4fe5c88b-3d3f-11f0-ab41-22344d083d2c</t>
  </si>
  <si>
    <t>Салат</t>
  </si>
  <si>
    <t>https://www.test.lavrpack.ru/local/templates/phoenix_v1/images_cache/thumbs/6f7199d4e02396714b4e41f02ea0cb0d.webp?v=1789992962</t>
  </si>
  <si>
    <t>ea285eab-3d3e-11f0-ab41-22344d083d2c#5c7ee430-3d3f-11f0-ab41-22344d083d2c</t>
  </si>
  <si>
    <t>https://www.test.lavrpack.ru/local/templates/phoenix_v1/images_cache/thumbs/b24991360893c2ab27948be2d618599f.webp?v=1789992962</t>
  </si>
  <si>
    <t>ea285eab-3d3e-11f0-ab41-22344d083d2c#68fe796b-3d3f-11f0-ab41-22344d083d2c</t>
  </si>
  <si>
    <t>Ярко-розовый</t>
  </si>
  <si>
    <t>https://www.test.lavrpack.ru/local/templates/phoenix_v1/images_cache/thumbs/275ecb0dd544c6150f4cd95226bde70a.webp?v=1789992962</t>
  </si>
  <si>
    <t>920142af-d60f-11ee-a0ad-00e01a6800eb#b8d815f6-d60f-11ee-a0ad-00e01a6800eb</t>
  </si>
  <si>
    <t>106477</t>
  </si>
  <si>
    <t>"Зебра люкс"60см×200гр</t>
  </si>
  <si>
    <t>https://www.test.lavrpack.ru/local/templates/phoenix_v1/images_cache/thumbs/9876e87e84f318a2178774cddc6a74e8.webp?v=1789992962</t>
  </si>
  <si>
    <t>920142af-d60f-11ee-a0ad-00e01a6800eb#ea488b29-d60f-11ee-a0ad-00e01a6800eb</t>
  </si>
  <si>
    <t>https://www.test.lavrpack.ru/local/templates/phoenix_v1/images_cache/thumbs/55cef84d80cde533a77db893147535d6.webp?v=1789992962</t>
  </si>
  <si>
    <t>920142af-d60f-11ee-a0ad-00e01a6800eb#9eedfb7e-d60f-11ee-a0ad-00e01a6800eb</t>
  </si>
  <si>
    <t>https://www.test.lavrpack.ru/local/templates/phoenix_v1/images_cache/thumbs/b1800f902ddee25897434b33099976d4.webp?v=1789992962</t>
  </si>
  <si>
    <t>920142af-d60f-11ee-a0ad-00e01a6800eb#e3f5e36e-d60f-11ee-a0ad-00e01a6800eb</t>
  </si>
  <si>
    <t>https://www.test.lavrpack.ru/local/templates/phoenix_v1/images_cache/thumbs/071adc378ef2b3106cd23d3d10915b52.webp?v=1789992962</t>
  </si>
  <si>
    <t>920142af-d60f-11ee-a0ad-00e01a6800eb#d5343b67-d60f-11ee-a0ad-00e01a6800eb</t>
  </si>
  <si>
    <t>https://www.test.lavrpack.ru/local/templates/phoenix_v1/images_cache/thumbs/bdd872c63103f9f73b4528732f4dfc71.webp?v=1789992962</t>
  </si>
  <si>
    <t>920142af-d60f-11ee-a0ad-00e01a6800eb#dcb2d137-d60f-11ee-a0ad-00e01a6800eb</t>
  </si>
  <si>
    <t>https://www.test.lavrpack.ru/local/templates/phoenix_v1/images_cache/thumbs/7643076e0e17f119fe241733fa2cb798.webp?v=1789992962</t>
  </si>
  <si>
    <t>920142af-d60f-11ee-a0ad-00e01a6800eb#bf6b036a-d60f-11ee-a0ad-00e01a6800eb</t>
  </si>
  <si>
    <t>Россия, Серебро</t>
  </si>
  <si>
    <t>https://www.test.lavrpack.ru/local/templates/phoenix_v1/images_cache/thumbs/9db65e51635966e3ddcb13ca8f713869.webp?v=1789992962</t>
  </si>
  <si>
    <t>920142af-d60f-11ee-a0ad-00e01a6800eb#cd886bdd-d60f-11ee-a0ad-00e01a6800eb</t>
  </si>
  <si>
    <t>https://www.test.lavrpack.ru/local/templates/phoenix_v1/images_cache/thumbs/c630c12cab0d64a31596bab410f9c68a.webp?v=1789992962</t>
  </si>
  <si>
    <t>3fdc87f1-d60e-11ee-a0ad-00e01a6800eb#946485cc-d60e-11ee-a0ad-00e01a6800eb</t>
  </si>
  <si>
    <t>106475</t>
  </si>
  <si>
    <t>Россия, Пудра</t>
  </si>
  <si>
    <t>"Зигзаг"60см×200гр</t>
  </si>
  <si>
    <t>https://www.test.lavrpack.ru/local/templates/phoenix_v1/images_cache/thumbs/75d695d44a7ad6d4420a1de820e2f5f8.webp?v=1789992962</t>
  </si>
  <si>
    <t>3fdc87f1-d60e-11ee-a0ad-00e01a6800eb#5dfcf290-d60e-11ee-a0ad-00e01a6800eb</t>
  </si>
  <si>
    <t>https://www.test.lavrpack.ru/local/templates/phoenix_v1/images_cache/thumbs/673818e9d288b5f7d37df99012680401.webp?v=1789992962</t>
  </si>
  <si>
    <t>3fdc87f1-d60e-11ee-a0ad-00e01a6800eb#a14a1a68-d60e-11ee-a0ad-00e01a6800eb</t>
  </si>
  <si>
    <t>https://www.test.lavrpack.ru/local/templates/phoenix_v1/images_cache/thumbs/dbbd02c275640e1752b122cb8046d43a.webp?v=1789992962</t>
  </si>
  <si>
    <t>3fdc87f1-d60e-11ee-a0ad-00e01a6800eb#82e246cd-d60e-11ee-a0ad-00e01a6800eb</t>
  </si>
  <si>
    <t>https://www.test.lavrpack.ru/local/templates/phoenix_v1/images_cache/thumbs/0ae1adc277e3242b6cc58c13797b3993.webp?v=1789992962</t>
  </si>
  <si>
    <t>a811cf28-d60a-11ee-a0ad-00e01a6800eb#c4751836-d60a-11ee-a0ad-00e01a6800eb</t>
  </si>
  <si>
    <t>106474</t>
  </si>
  <si>
    <t>"Кант тон."60см×200гр</t>
  </si>
  <si>
    <t>https://www.test.lavrpack.ru/local/templates/phoenix_v1/images_cache/thumbs/5d196cbd00bba35c0dbc35f80aee9b46.webp?v=1789992962</t>
  </si>
  <si>
    <t>a811cf28-d60a-11ee-a0ad-00e01a6800eb#e98a07fb-d60a-11ee-a0ad-00e01a6800eb</t>
  </si>
  <si>
    <t>https://www.test.lavrpack.ru/local/templates/phoenix_v1/images_cache/thumbs/a8ba5606ba819263a5bbb350e5878c0b.webp?v=1789992962</t>
  </si>
  <si>
    <t>a811cf28-d60a-11ee-a0ad-00e01a6800eb#cb41261f-d60a-11ee-a0ad-00e01a6800eb</t>
  </si>
  <si>
    <t>https://www.test.lavrpack.ru/local/templates/phoenix_v1/images_cache/thumbs/3f5a7f8798be26b71dcac67e81ae3046.webp?v=1789992962</t>
  </si>
  <si>
    <t>a811cf28-d60a-11ee-a0ad-00e01a6800eb#db4427da-d60a-11ee-a0ad-00e01a6800eb</t>
  </si>
  <si>
    <t>https://www.test.lavrpack.ru/local/templates/phoenix_v1/images_cache/thumbs/9add5bf0714eb7979fcd171123173178.webp?v=1789992962</t>
  </si>
  <si>
    <t>98e229fa-d609-11ee-a0ad-00e01a6800eb#15a86b77-d60a-11ee-a0ad-00e01a6800eb</t>
  </si>
  <si>
    <t>106473</t>
  </si>
  <si>
    <t>Россия, Голубой/черный</t>
  </si>
  <si>
    <t>"Комплимент тон."60см×200гр</t>
  </si>
  <si>
    <t>https://www.test.lavrpack.ru/local/templates/phoenix_v1/images_cache/thumbs/d162455d9160e294e6c31cdcf01f2a7a.webp?v=1789992962</t>
  </si>
  <si>
    <t>98e229fa-d609-11ee-a0ad-00e01a6800eb#cef1aa83-d609-11ee-a0ad-00e01a6800eb</t>
  </si>
  <si>
    <t>Россия, Сирень/черный</t>
  </si>
  <si>
    <t>https://www.test.lavrpack.ru/local/templates/phoenix_v1/images_cache/thumbs/ff494cb744133c7dd8b79432c8457d03.webp?v=1789992962</t>
  </si>
  <si>
    <t>98e229fa-d609-11ee-a0ad-00e01a6800eb#e9930fdd-d609-11ee-a0ad-00e01a6800eb</t>
  </si>
  <si>
    <t>Россия, Крем/черный</t>
  </si>
  <si>
    <t>https://www.test.lavrpack.ru/local/templates/phoenix_v1/images_cache/thumbs/83b1b85cca955ee484973bd03c1967ad.webp?v=1789992962</t>
  </si>
  <si>
    <t>98e229fa-d609-11ee-a0ad-00e01a6800eb#bbb96e1d-d609-11ee-a0ad-00e01a6800eb</t>
  </si>
  <si>
    <t>https://www.test.lavrpack.ru/local/templates/phoenix_v1/images_cache/thumbs/d84c95c74cbcd9c6a9ac40d0cabb4d20.webp?v=1789992962</t>
  </si>
  <si>
    <t>98e229fa-d609-11ee-a0ad-00e01a6800eb#20a8677d-d60a-11ee-a0ad-00e01a6800eb</t>
  </si>
  <si>
    <t>Россия, Белый/черный</t>
  </si>
  <si>
    <t>https://www.test.lavrpack.ru/local/templates/phoenix_v1/images_cache/thumbs/af8ae3a1a5626807bcb592c5dbe6f4d6.webp?v=1789992962</t>
  </si>
  <si>
    <t>98e229fa-d609-11ee-a0ad-00e01a6800eb#dc3414bb-d609-11ee-a0ad-00e01a6800eb</t>
  </si>
  <si>
    <t>https://www.test.lavrpack.ru/local/templates/phoenix_v1/images_cache/thumbs/62bfae32794019adec11283cf0b08686.webp?v=1789992962</t>
  </si>
  <si>
    <t>0f904a34-d608-11ee-a0ad-00e01a6800eb#784a753a-d608-11ee-a0ad-00e01a6800eb</t>
  </si>
  <si>
    <t>106472</t>
  </si>
  <si>
    <t>Россия, Марсала/крем</t>
  </si>
  <si>
    <t>"Конфетти"60см×200гр</t>
  </si>
  <si>
    <t>https://www.test.lavrpack.ru/local/templates/phoenix_v1/images_cache/thumbs/2e4075d27a2245eea92ef6ea17e356bb.webp?v=1789992962</t>
  </si>
  <si>
    <t>0f904a34-d608-11ee-a0ad-00e01a6800eb#26452a91-d608-11ee-a0ad-00e01a6800eb</t>
  </si>
  <si>
    <t>Россия, Тиффани/крем</t>
  </si>
  <si>
    <t>https://www.test.lavrpack.ru/local/templates/phoenix_v1/images_cache/thumbs/32c7d2982cd4b67e5fdbbf3c321f7f81.webp?v=1789992962</t>
  </si>
  <si>
    <t>0f904a34-d608-11ee-a0ad-00e01a6800eb#3e8c538c-d608-11ee-a0ad-00e01a6800eb</t>
  </si>
  <si>
    <t>Россия, Сирень/крем</t>
  </si>
  <si>
    <t>https://www.test.lavrpack.ru/local/templates/phoenix_v1/images_cache/thumbs/fb70bd2eb48b4a3fcf0fae7dc5a80c10.webp?v=1789992962</t>
  </si>
  <si>
    <t>0f904a34-d608-11ee-a0ad-00e01a6800eb#5b4c724d-d608-11ee-a0ad-00e01a6800eb</t>
  </si>
  <si>
    <t>Россия, Салат нежный/крем</t>
  </si>
  <si>
    <t>https://www.test.lavrpack.ru/local/templates/phoenix_v1/images_cache/thumbs/e24b68f28036f026020c7b1dc086f3a1.webp?v=1789992962</t>
  </si>
  <si>
    <t>0f904a34-d608-11ee-a0ad-00e01a6800eb#70a36861-d608-11ee-a0ad-00e01a6800eb</t>
  </si>
  <si>
    <t>Россия, Розовый/крем</t>
  </si>
  <si>
    <t>https://www.test.lavrpack.ru/local/templates/phoenix_v1/images_cache/thumbs/33fb9769a9d6570ccf8787b0c0176334.webp?v=1789992962</t>
  </si>
  <si>
    <t>158ce692-cfb5-11ee-a0ad-00e01a6800eb#64c35160-cfb5-11ee-a0ad-00e01a6800eb</t>
  </si>
  <si>
    <t>106279</t>
  </si>
  <si>
    <t>Дыня</t>
  </si>
  <si>
    <t>"Корея" 50см×10м</t>
  </si>
  <si>
    <t>491ae707-ad88-11ef-ab3b-22344d083d2c#56e57414-ad88-11ef-ab3b-22344d083d2c</t>
  </si>
  <si>
    <t>110626</t>
  </si>
  <si>
    <t>"Лаковая тонировка" 60см×200гр</t>
  </si>
  <si>
    <t>https://www.test.lavrpack.ru/local/templates/phoenix_v1/images_cache/thumbs/8914456725eefcb833092b432721d8bf.webp?v=1789992962</t>
  </si>
  <si>
    <t>491ae707-ad88-11ef-ab3b-22344d083d2c#5df0b87b-ad88-11ef-ab3b-22344d083d2c</t>
  </si>
  <si>
    <t>Малина</t>
  </si>
  <si>
    <t>https://www.test.lavrpack.ru/local/templates/phoenix_v1/images_cache/thumbs/fb4d4b92c09c32dfc6e5d76010b3bccd.webp?v=1789992962</t>
  </si>
  <si>
    <t>491ae707-ad88-11ef-ab3b-22344d083d2c#65294b30-ad88-11ef-ab3b-22344d083d2c</t>
  </si>
  <si>
    <t>https://www.test.lavrpack.ru/local/templates/phoenix_v1/images_cache/thumbs/6f48232b7865fd2b131302a8fdc61dc5.webp?v=1789992962</t>
  </si>
  <si>
    <t>491ae707-ad88-11ef-ab3b-22344d083d2c#65294b40-ad88-11ef-ab3b-22344d083d2c</t>
  </si>
  <si>
    <t>Синий</t>
  </si>
  <si>
    <t>https://www.test.lavrpack.ru/local/templates/phoenix_v1/images_cache/thumbs/d306fdfcc3fdc345ce3b89e6796eadc3.webp?v=1789992962</t>
  </si>
  <si>
    <t>491ae707-ad88-11ef-ab3b-22344d083d2c#72dd47e3-ad88-11ef-ab3b-22344d083d2c</t>
  </si>
  <si>
    <t>Фиолетовый</t>
  </si>
  <si>
    <t>https://www.test.lavrpack.ru/local/templates/phoenix_v1/images_cache/thumbs/b6a497e27e09daa1877b37e90ad12c93.webp?v=1789992962</t>
  </si>
  <si>
    <t>b7027ffb-d604-11ee-a0ad-00e01a6800eb#f8890126-d604-11ee-a0ad-00e01a6800eb</t>
  </si>
  <si>
    <t>106471</t>
  </si>
  <si>
    <t>Россия, Ярко-розовый/золото</t>
  </si>
  <si>
    <t>"Люрекс тон."60см×200гр</t>
  </si>
  <si>
    <t>https://www.test.lavrpack.ru/local/templates/phoenix_v1/images_cache/thumbs/67f2c056f4e3ce2db6aa802e2965ade1.webp?v=1789992962</t>
  </si>
  <si>
    <t>b7027ffb-d604-11ee-a0ad-00e01a6800eb#6f3a821d-d605-11ee-a0ad-00e01a6800eb</t>
  </si>
  <si>
    <t>Россия, Салат/золото</t>
  </si>
  <si>
    <t>https://www.test.lavrpack.ru/local/templates/phoenix_v1/images_cache/thumbs/b130836c76c11aa2b9aa778278ab245a.webp?v=1789992962</t>
  </si>
  <si>
    <t>b7027ffb-d604-11ee-a0ad-00e01a6800eb#e8d0483f-d605-11ee-a0ad-00e01a6800eb</t>
  </si>
  <si>
    <t>Россия, Бирюза/золото</t>
  </si>
  <si>
    <t>https://www.test.lavrpack.ru/local/templates/phoenix_v1/images_cache/thumbs/5011000c96f3752b690b1a5cbc2847f1.webp?v=1789992962</t>
  </si>
  <si>
    <t>b7027ffb-d604-11ee-a0ad-00e01a6800eb#f71aeb44-d605-11ee-a0ad-00e01a6800eb</t>
  </si>
  <si>
    <t>https://www.test.lavrpack.ru/local/templates/phoenix_v1/images_cache/thumbs/49f6d2977b525719c0ab0f2ab4cbbd85.webp?v=1789992962</t>
  </si>
  <si>
    <t>b7027ffb-d604-11ee-a0ad-00e01a6800eb#d25bad09-d605-11ee-a0ad-00e01a6800eb</t>
  </si>
  <si>
    <t>Россия, Красный/золото</t>
  </si>
  <si>
    <t>https://www.test.lavrpack.ru/local/templates/phoenix_v1/images_cache/thumbs/fa12d987342a927b0e774acb19ec7ebb.webp?v=1789992962</t>
  </si>
  <si>
    <t>b7027ffb-d604-11ee-a0ad-00e01a6800eb#90d9ee8f-d605-11ee-a0ad-00e01a6800eb</t>
  </si>
  <si>
    <t>https://www.test.lavrpack.ru/local/templates/phoenix_v1/images_cache/thumbs/355a6e264a67ff09b43d036dcc4e046a.webp?v=1789992962</t>
  </si>
  <si>
    <t>b7027ffb-d604-11ee-a0ad-00e01a6800eb#a35fa3cc-d605-11ee-a0ad-00e01a6800eb</t>
  </si>
  <si>
    <t>Россия, Пастельный/золото</t>
  </si>
  <si>
    <t>https://www.test.lavrpack.ru/local/templates/phoenix_v1/images_cache/thumbs/0c6452b1fb1ee4bda9ea0236dd9d15a8.webp?v=1789992962</t>
  </si>
  <si>
    <t>b7027ffb-d604-11ee-a0ad-00e01a6800eb#c138a4f0-d605-11ee-a0ad-00e01a6800eb</t>
  </si>
  <si>
    <t>Россия, Крем/золото</t>
  </si>
  <si>
    <t>https://www.test.lavrpack.ru/local/templates/phoenix_v1/images_cache/thumbs/4726f1a6c4184d7856ace56d5eec65fd.webp?v=1789992962</t>
  </si>
  <si>
    <t>b7027ffb-d604-11ee-a0ad-00e01a6800eb#5d8d66d7-d605-11ee-a0ad-00e01a6800eb</t>
  </si>
  <si>
    <t>Россия, Сирень/золото</t>
  </si>
  <si>
    <t>https://www.test.lavrpack.ru/local/templates/phoenix_v1/images_cache/thumbs/dbceaa1c9279e23fd7a8ac98c71b85f8.webp?v=1789992962</t>
  </si>
  <si>
    <t>6ab70781-d603-11ee-a0ad-00e01a6800eb#9042fbee-d603-11ee-a0ad-00e01a6800eb</t>
  </si>
  <si>
    <t>106470</t>
  </si>
  <si>
    <t>"Мечта"60см×200гр</t>
  </si>
  <si>
    <t>https://www.test.lavrpack.ru/local/templates/phoenix_v1/images_cache/thumbs/2f7bd0bbef3a26cbcc459afc686bd38c.webp?v=1789992962</t>
  </si>
  <si>
    <t>8bcb6b7b-d601-11ee-a0ad-00e01a6800eb#aa144d57-d601-11ee-a0ad-00e01a6800eb</t>
  </si>
  <si>
    <t>106469</t>
  </si>
  <si>
    <t>"Мечта"70см×200гр</t>
  </si>
  <si>
    <t>https://www.test.lavrpack.ru/local/templates/phoenix_v1/images_cache/thumbs/58cef1eea12e57d9b26025b877236c29.webp?v=1789992962</t>
  </si>
  <si>
    <t>8bcb6b7b-d601-11ee-a0ad-00e01a6800eb#9b4b8164-d601-11ee-a0ad-00e01a6800eb</t>
  </si>
  <si>
    <t>https://www.test.lavrpack.ru/local/templates/phoenix_v1/images_cache/thumbs/4f1eca4e0b77cd43a15f1be67efbacea.webp?v=1789992962</t>
  </si>
  <si>
    <t>8bcb6b7b-d601-11ee-a0ad-00e01a6800eb#93c5c84a-d601-11ee-a0ad-00e01a6800eb</t>
  </si>
  <si>
    <t>https://www.test.lavrpack.ru/local/templates/phoenix_v1/images_cache/thumbs/8b864539dbdf1d9fb93ce7662631b3b0.webp?v=1789992962</t>
  </si>
  <si>
    <t>03bae57a-d600-11ee-a0ad-00e01a6800eb#3692ca2b-d600-11ee-a0ad-00e01a6800eb</t>
  </si>
  <si>
    <t>106468</t>
  </si>
  <si>
    <t>"Монро"70см×200гр</t>
  </si>
  <si>
    <t>https://www.test.lavrpack.ru/local/templates/phoenix_v1/images_cache/thumbs/129a93c5662f6c4d0fa8ffc0593f4912.webp?v=1789992962</t>
  </si>
  <si>
    <t>03bae57a-d600-11ee-a0ad-00e01a6800eb#45cb7674-d600-11ee-a0ad-00e01a6800eb</t>
  </si>
  <si>
    <t>https://www.test.lavrpack.ru/local/templates/phoenix_v1/images_cache/thumbs/d9e0fc1cd0bbb44c3126218160358fad.webp?v=1789992962</t>
  </si>
  <si>
    <t>60887019-d5fe-11ee-a0ad-00e01a6800eb#d1311091-d5fe-11ee-a0ad-00e01a6800eb</t>
  </si>
  <si>
    <t>106467</t>
  </si>
  <si>
    <t>"Незабудка тон."60см×200гр</t>
  </si>
  <si>
    <t>https://www.test.lavrpack.ru/local/templates/phoenix_v1/images_cache/thumbs/dfc99f674752873ff9d4a6ca786f15f1.webp?v=1789992962</t>
  </si>
  <si>
    <t>60887019-d5fe-11ee-a0ad-00e01a6800eb#23d83884-d5ff-11ee-a0ad-00e01a6800eb</t>
  </si>
  <si>
    <t>Россия, Дымчатый</t>
  </si>
  <si>
    <t>https://www.test.lavrpack.ru/local/templates/phoenix_v1/images_cache/thumbs/c0a42faa53114d53c97eea02ba6d0cb2.webp?v=1789992962</t>
  </si>
  <si>
    <t>60887019-d5fe-11ee-a0ad-00e01a6800eb#2db36b26-d5ff-11ee-a0ad-00e01a6800eb</t>
  </si>
  <si>
    <t>https://www.test.lavrpack.ru/local/templates/phoenix_v1/images_cache/thumbs/f28771762d2f7a368a5fcf839bf282ba.webp?v=1789992962</t>
  </si>
  <si>
    <t>60887019-d5fe-11ee-a0ad-00e01a6800eb#b3c0cbed-d5fe-11ee-a0ad-00e01a6800eb</t>
  </si>
  <si>
    <t>https://www.test.lavrpack.ru/local/templates/phoenix_v1/images_cache/thumbs/517795c27af5555846b50d13eae1af1b.webp?v=1789992962</t>
  </si>
  <si>
    <t>60887019-d5fe-11ee-a0ad-00e01a6800eb#995163c2-d5fe-11ee-a0ad-00e01a6800eb</t>
  </si>
  <si>
    <t>https://www.test.lavrpack.ru/local/templates/phoenix_v1/images_cache/thumbs/4031da301a8ca6cd74014f9e8efb23f1.webp?v=1789992962</t>
  </si>
  <si>
    <t>60887019-d5fe-11ee-a0ad-00e01a6800eb#c55f9b94-d5fe-11ee-a0ad-00e01a6800eb</t>
  </si>
  <si>
    <t>https://www.test.lavrpack.ru/local/templates/phoenix_v1/images_cache/thumbs/d5a29bd2d4b7fba2bc6935613be79601.webp?v=1789992962</t>
  </si>
  <si>
    <t>60887019-d5fe-11ee-a0ad-00e01a6800eb#a4111a7f-d5fe-11ee-a0ad-00e01a6800eb</t>
  </si>
  <si>
    <t>https://www.test.lavrpack.ru/local/templates/phoenix_v1/images_cache/thumbs/f3798fcc8e0a51df9238943247c1eefc.webp?v=1789992962</t>
  </si>
  <si>
    <t>9dc0562d-d5fd-11ee-a0ad-00e01a6800eb#cd1210ff-d5fd-11ee-a0ad-00e01a6800eb</t>
  </si>
  <si>
    <t>106466</t>
  </si>
  <si>
    <t>"Папоротник тон."60см×200гр</t>
  </si>
  <si>
    <t>https://www.test.lavrpack.ru/local/templates/phoenix_v1/images_cache/thumbs/abed0064ecd9faea5bd553a738fa8151.webp?v=1789992962</t>
  </si>
  <si>
    <t>9dc0562d-d5fd-11ee-a0ad-00e01a6800eb#d3bccbb3-d5fd-11ee-a0ad-00e01a6800eb</t>
  </si>
  <si>
    <t>https://www.test.lavrpack.ru/local/templates/phoenix_v1/images_cache/thumbs/5e6192f1d13d22a804277e0bd7e04e49.webp?v=1789992962</t>
  </si>
  <si>
    <t>9dc0562d-d5fd-11ee-a0ad-00e01a6800eb#af4e7c32-d5fd-11ee-a0ad-00e01a6800eb</t>
  </si>
  <si>
    <t>Россия, Сиреневый</t>
  </si>
  <si>
    <t>https://www.test.lavrpack.ru/local/templates/phoenix_v1/images_cache/thumbs/57bb06288d63ca2d66167dce08460174.webp?v=1789992962</t>
  </si>
  <si>
    <t>9dc0562d-d5fd-11ee-a0ad-00e01a6800eb#c0822ded-d5fd-11ee-a0ad-00e01a6800eb</t>
  </si>
  <si>
    <t>https://www.test.lavrpack.ru/local/templates/phoenix_v1/images_cache/thumbs/6553f8c0c20e7d8ff8ef134a5c7a47cc.webp?v=1789992962</t>
  </si>
  <si>
    <t>9dc0562d-d5fd-11ee-a0ad-00e01a6800eb#af4e7c42-d5fd-11ee-a0ad-00e01a6800eb</t>
  </si>
  <si>
    <t>https://www.test.lavrpack.ru/local/templates/phoenix_v1/images_cache/thumbs/92ed1488da062de70821c8e0d18b6784.webp?v=1789992962</t>
  </si>
  <si>
    <t>9dc0562d-d5fd-11ee-a0ad-00e01a6800eb#34d757c3-b61a-11ef-ab3b-22344d083d2c</t>
  </si>
  <si>
    <t>https://www.test.lavrpack.ru/local/templates/phoenix_v1/images_cache/thumbs/b6004c59a831cb3341803b0ed6a1d90b.webp?v=1789992962</t>
  </si>
  <si>
    <t>b3ae2e38-cf08-11ee-a0ad-00e01a6800eb#eb44105f-cf08-11ee-a0ad-00e01a6800eb</t>
  </si>
  <si>
    <t>106230</t>
  </si>
  <si>
    <t>Белый/серый/сиреневый</t>
  </si>
  <si>
    <t>"Перья" 58см×10м</t>
  </si>
  <si>
    <t>https://www.test.lavrpack.ru/local/templates/phoenix_v1/images_cache/thumbs/0e642c9b05512702806f8f10c742c18a.webp?v=1789992962</t>
  </si>
  <si>
    <t>bc632e5c-d5fc-11ee-a0ad-00e01a6800eb#e4afba40-d5fc-11ee-a0ad-00e01a6800eb</t>
  </si>
  <si>
    <t>106465</t>
  </si>
  <si>
    <t>"Перья"60см×200гр</t>
  </si>
  <si>
    <t>https://www.test.lavrpack.ru/local/templates/phoenix_v1/images_cache/thumbs/831e33156fac04a8ecd898b0196bcc45.webp?v=1789992962</t>
  </si>
  <si>
    <t>bc632e5c-d5fc-11ee-a0ad-00e01a6800eb#ed63c240-d5fc-11ee-a0ad-00e01a6800eb</t>
  </si>
  <si>
    <t>https://www.test.lavrpack.ru/local/templates/phoenix_v1/images_cache/thumbs/aa1a72707b6f73474edc668dfd40cf77.webp?v=1789992962</t>
  </si>
  <si>
    <t>bc632e5c-d5fc-11ee-a0ad-00e01a6800eb#fd4ef615-d5fc-11ee-a0ad-00e01a6800eb</t>
  </si>
  <si>
    <t>https://www.test.lavrpack.ru/local/templates/phoenix_v1/images_cache/thumbs/1481c1a9bb6b22c1efdd1ba66974bd74.webp?v=1789992962</t>
  </si>
  <si>
    <t>3b49fb66-da1b-11ee-a0ad-00e01a6800eb#43680cb5-da1b-11ee-a0ad-00e01a6800eb</t>
  </si>
  <si>
    <t>106635</t>
  </si>
  <si>
    <t>Белый</t>
  </si>
  <si>
    <t>"Письмо" 60см×200гр</t>
  </si>
  <si>
    <t>https://www.test.lavrpack.ru/local/templates/phoenix_v1/images_cache/thumbs/8c2e4a682df85179f06e626ab4028bea.webp?v=1789992962</t>
  </si>
  <si>
    <t>3b49fb66-da1b-11ee-a0ad-00e01a6800eb#497a6f48-da1b-11ee-a0ad-00e01a6800eb</t>
  </si>
  <si>
    <t>https://www.test.lavrpack.ru/local/templates/phoenix_v1/images_cache/thumbs/a79e495a7dbe1e85da3283f79862a205.webp?v=1789992962</t>
  </si>
  <si>
    <t>c2e9b6d1-d5fb-11ee-a0ad-00e01a6800eb#01b4630f-d5fc-11ee-a0ad-00e01a6800eb</t>
  </si>
  <si>
    <t>106464</t>
  </si>
  <si>
    <t>"Принт тон."60см×200гр</t>
  </si>
  <si>
    <t>https://www.test.lavrpack.ru/local/templates/phoenix_v1/images_cache/thumbs/2e0372bea7aefe963fabfe3391825517.webp?v=1789992962</t>
  </si>
  <si>
    <t>c2e9b6d1-d5fb-11ee-a0ad-00e01a6800eb#01b462ff-d5fc-11ee-a0ad-00e01a6800eb</t>
  </si>
  <si>
    <t>Россия, Изумрудный</t>
  </si>
  <si>
    <t>https://www.test.lavrpack.ru/local/templates/phoenix_v1/images_cache/thumbs/64b653139bcc483b7fd9911c288cca27.webp?v=1789992962</t>
  </si>
  <si>
    <t>c2e9b6d1-d5fb-11ee-a0ad-00e01a6800eb#dfa04fc2-d5fb-11ee-a0ad-00e01a6800eb</t>
  </si>
  <si>
    <t>https://www.test.lavrpack.ru/local/templates/phoenix_v1/images_cache/thumbs/0e4f25a87c6a3aebb3a0076655740474.webp?v=1789992962</t>
  </si>
  <si>
    <t>c2e9b6d1-d5fb-11ee-a0ad-00e01a6800eb#d9a35982-d5fb-11ee-a0ad-00e01a6800eb</t>
  </si>
  <si>
    <t>https://www.test.lavrpack.ru/local/templates/phoenix_v1/images_cache/thumbs/2715f194d938850ca869e5027e5b7dcb.webp?v=1789992962</t>
  </si>
  <si>
    <t>c2e9b6d1-d5fb-11ee-a0ad-00e01a6800eb#f0c357cc-d5fb-11ee-a0ad-00e01a6800eb</t>
  </si>
  <si>
    <t>https://www.test.lavrpack.ru/local/templates/phoenix_v1/images_cache/thumbs/79f2321609759266d0160ea774deb5af.webp?v=1789992962</t>
  </si>
  <si>
    <t>c2e9b6d1-d5fb-11ee-a0ad-00e01a6800eb#d0275e0c-d5fb-11ee-a0ad-00e01a6800eb</t>
  </si>
  <si>
    <t>https://www.test.lavrpack.ru/local/templates/phoenix_v1/images_cache/thumbs/3abd323afa6bd676d9046b5e83512c9b.webp?v=1789992962</t>
  </si>
  <si>
    <t>1021fbdb-6a7f-11ef-ab51-1cfd08767542#18351275-6a7f-11ef-ab51-1cfd08767542</t>
  </si>
  <si>
    <t>109310</t>
  </si>
  <si>
    <t>"Сердца" 60см×200гр</t>
  </si>
  <si>
    <t>https://www.test.lavrpack.ru/local/templates/phoenix_v1/images_cache/thumbs/bf8aa423c870ea484826f08a03ac9ccf.webp?v=1789992962</t>
  </si>
  <si>
    <t>1021fbdb-6a7f-11ef-ab51-1cfd08767542#18351285-6a7f-11ef-ab51-1cfd08767542</t>
  </si>
  <si>
    <t>https://www.test.lavrpack.ru/local/templates/phoenix_v1/images_cache/thumbs/ecc833823034993d1268a1140d2c9e02.webp?v=1789992962</t>
  </si>
  <si>
    <t>ef9ab343-d5f8-11ee-a0ad-00e01a6800eb#196b3f73-d5f9-11ee-a0ad-00e01a6800eb</t>
  </si>
  <si>
    <t>106462</t>
  </si>
  <si>
    <t>"Соло тон."60см×200гр</t>
  </si>
  <si>
    <t>https://www.test.lavrpack.ru/local/templates/phoenix_v1/images_cache/thumbs/f688bc10590b17a002e46926b8be270b.webp?v=1789992962</t>
  </si>
  <si>
    <t>ef9ab343-d5f8-11ee-a0ad-00e01a6800eb#fc0e05e3-d5f8-11ee-a0ad-00e01a6800eb</t>
  </si>
  <si>
    <t>Россия, Светло-фиолетовый</t>
  </si>
  <si>
    <t>https://www.test.lavrpack.ru/local/templates/phoenix_v1/images_cache/thumbs/fc684ecbbfe529fab6309f3e54b40059.webp?v=1789992962</t>
  </si>
  <si>
    <t>ef9ab343-d5f8-11ee-a0ad-00e01a6800eb#1fc2a9ee-d5f9-11ee-a0ad-00e01a6800eb</t>
  </si>
  <si>
    <t>https://www.test.lavrpack.ru/local/templates/phoenix_v1/images_cache/thumbs/ecb78eef792a16c2a2b2593e15362f83.webp?v=1789992962</t>
  </si>
  <si>
    <t>ef9ab343-d5f8-11ee-a0ad-00e01a6800eb#27ffad20-d5f9-11ee-a0ad-00e01a6800eb</t>
  </si>
  <si>
    <t>https://www.test.lavrpack.ru/local/templates/phoenix_v1/images_cache/thumbs/d1fa2dc5c0722de688af3f433506f3d1.webp?v=1789992962</t>
  </si>
  <si>
    <t>ef9ab343-d5f8-11ee-a0ad-00e01a6800eb#0a5b0a6a-d5f9-11ee-a0ad-00e01a6800eb</t>
  </si>
  <si>
    <t>https://www.test.lavrpack.ru/local/templates/phoenix_v1/images_cache/thumbs/1db807b727c4f20db31a1345b1a66899.webp?v=1789992962</t>
  </si>
  <si>
    <t>f6e40646-3d2f-11f0-ab41-22344d083d2c#094923d6-3d30-11f0-ab41-22344d083d2c</t>
  </si>
  <si>
    <t>113011</t>
  </si>
  <si>
    <t>"Тонировка" 60см×1кг</t>
  </si>
  <si>
    <t>f6e40646-3d2f-11f0-ab41-22344d083d2c#2a758e56-3d30-11f0-ab41-22344d083d2c</t>
  </si>
  <si>
    <t>Россия, Светлая сирень</t>
  </si>
  <si>
    <t>https://www.test.lavrpack.ru/local/templates/phoenix_v1/images_cache/thumbs/890ae49e1d00ab2e650940b4e52b0fed.webp?v=1789992962</t>
  </si>
  <si>
    <t>f6e40646-3d2f-11f0-ab41-22344d083d2c#0f48eaec-3d30-11f0-ab41-22344d083d2c</t>
  </si>
  <si>
    <t>https://www.test.lavrpack.ru/local/templates/phoenix_v1/images_cache/thumbs/515ad36fcb50721520802814c996c456.webp?v=1789996897</t>
  </si>
  <si>
    <t>854e787c-3d31-11f0-ab41-22344d083d2c#98a60081-3d31-11f0-ab41-22344d083d2c</t>
  </si>
  <si>
    <t>113012</t>
  </si>
  <si>
    <t>"Тонировка" 60см×800гр</t>
  </si>
  <si>
    <t>https://www.test.lavrpack.ru/local/templates/phoenix_v1/images_cache/thumbs/4b4a7d99628657667d8437a4ade43f09.webp?v=1789992962</t>
  </si>
  <si>
    <t>854e787c-3d31-11f0-ab41-22344d083d2c#ae4f6169-3d31-11f0-ab41-22344d083d2c</t>
  </si>
  <si>
    <t>https://www.test.lavrpack.ru/local/templates/phoenix_v1/images_cache/thumbs/b3a6204b14b18b27095031bc73ba9ebd.webp?v=1789992962</t>
  </si>
  <si>
    <t>3c5c249f-69e3-11ee-a8ad-00e01a6800eb</t>
  </si>
  <si>
    <t>104484</t>
  </si>
  <si>
    <t>чистая (СП)</t>
  </si>
  <si>
    <t>"Тонировка"60см×1кг</t>
  </si>
  <si>
    <t>упак</t>
  </si>
  <si>
    <t>https://www.test.lavrpack.ru/local/templates/phoenix_v1/images_cache/thumbs/5574387b232a6ac649be3135c729a9fd.webp?v=1790033754</t>
  </si>
  <si>
    <t>ee204857-7f2c-11ec-b73f-0018e40a3af2</t>
  </si>
  <si>
    <t>63635</t>
  </si>
  <si>
    <t>"Тонировка"60см×200гр</t>
  </si>
  <si>
    <t>https://www.test.lavrpack.ru/local/templates/phoenix_v1/images_cache/thumbs/b191a397e20c719d84f80f4c2903e86f.webp?v=1790033754</t>
  </si>
  <si>
    <t>8903567a-d574-11ee-a0ad-00e01a6800eb#f95182b6-d574-11ee-a0ad-00e01a6800eb</t>
  </si>
  <si>
    <t>106461</t>
  </si>
  <si>
    <t>Россия, Шоколад</t>
  </si>
  <si>
    <t>https://www.test.lavrpack.ru/local/templates/phoenix_v1/images_cache/thumbs/fef153700155b909b7b112b2c3e0f234.webp?v=1789992962</t>
  </si>
  <si>
    <t>8903567a-d574-11ee-a0ad-00e01a6800eb#162bd099-d575-11ee-a0ad-00e01a6800eb</t>
  </si>
  <si>
    <t>https://www.test.lavrpack.ru/local/templates/phoenix_v1/images_cache/thumbs/4078f55907cbdd3cbb149663f7c4ca08.webp?v=1789992962</t>
  </si>
  <si>
    <t>8903567a-d574-11ee-a0ad-00e01a6800eb#6970135e-d575-11ee-a0ad-00e01a6800eb</t>
  </si>
  <si>
    <t>Россия, Тиффани</t>
  </si>
  <si>
    <t>https://www.test.lavrpack.ru/local/templates/phoenix_v1/images_cache/thumbs/8d9e50b543ce2683164896557cfe60c4.webp?v=1789992962</t>
  </si>
  <si>
    <t>8903567a-d574-11ee-a0ad-00e01a6800eb#7e09973d-d577-11ee-a0ad-00e01a6800eb</t>
  </si>
  <si>
    <t>Россия, Пыльно-розовый</t>
  </si>
  <si>
    <t>https://www.test.lavrpack.ru/local/templates/phoenix_v1/images_cache/thumbs/e6a641e321dc72265302b8077cb6abc4.webp?v=1789992962</t>
  </si>
  <si>
    <t>8903567a-d574-11ee-a0ad-00e01a6800eb#5665111e-d575-11ee-a0ad-00e01a6800eb</t>
  </si>
  <si>
    <t>https://www.test.lavrpack.ru/local/templates/phoenix_v1/images_cache/thumbs/9a5b3355870455633b7955a4a3c4a457.webp?v=1789992962</t>
  </si>
  <si>
    <t>8903567a-d574-11ee-a0ad-00e01a6800eb#6648d38b-d5f7-11ee-a0ad-00e01a6800eb</t>
  </si>
  <si>
    <t>https://www.test.lavrpack.ru/local/templates/phoenix_v1/images_cache/thumbs/2326e60fed5e50a517769f7afcbd1bb1.webp?v=1789992962</t>
  </si>
  <si>
    <t>8903567a-d574-11ee-a0ad-00e01a6800eb#4254378e-d575-11ee-a0ad-00e01a6800eb</t>
  </si>
  <si>
    <t>Россия, Хаки</t>
  </si>
  <si>
    <t>https://www.test.lavrpack.ru/local/templates/phoenix_v1/images_cache/thumbs/24112b68b35a4c27c14e6c19ca4729da.webp?v=1789992962</t>
  </si>
  <si>
    <t>8903567a-d574-11ee-a0ad-00e01a6800eb#44d32447-d577-11ee-a0ad-00e01a6800eb</t>
  </si>
  <si>
    <t>https://www.test.lavrpack.ru/local/templates/phoenix_v1/images_cache/thumbs/a5022907f69d00e912876dd69a4cf05d.webp?v=1789992962</t>
  </si>
  <si>
    <t>8903567a-d574-11ee-a0ad-00e01a6800eb#5ea829b8-5885-11ef-ab50-1cfd08767542</t>
  </si>
  <si>
    <t>Россия, Коралл</t>
  </si>
  <si>
    <t>https://www.test.lavrpack.ru/local/templates/phoenix_v1/images_cache/thumbs/5d67fd4cb262d62db4b2aba29af072fe.webp?v=1789992962</t>
  </si>
  <si>
    <t>8903567a-d574-11ee-a0ad-00e01a6800eb#f34d6856-d574-11ee-a0ad-00e01a6800eb</t>
  </si>
  <si>
    <t>Россия, Ярко-сиреневый</t>
  </si>
  <si>
    <t>https://www.test.lavrpack.ru/local/templates/phoenix_v1/images_cache/thumbs/db8d00e4aff3dbd4fa4124c480c7193f.webp?v=1789992962</t>
  </si>
  <si>
    <t>8903567a-d574-11ee-a0ad-00e01a6800eb#77923eef-d575-11ee-a0ad-00e01a6800eb</t>
  </si>
  <si>
    <t>Россия, Светло-сиреневый</t>
  </si>
  <si>
    <t>https://www.test.lavrpack.ru/local/templates/phoenix_v1/images_cache/thumbs/0bf063dea6f6029dee5b71fbb72a0273.webp?v=1789992962</t>
  </si>
  <si>
    <t>8903567a-d574-11ee-a0ad-00e01a6800eb#4ed58509-d5f7-11ee-a0ad-00e01a6800eb</t>
  </si>
  <si>
    <t>https://www.test.lavrpack.ru/local/templates/phoenix_v1/images_cache/thumbs/161395a6f4e5f4e477087701365c5381.webp?v=1789992962</t>
  </si>
  <si>
    <t>8903567a-d574-11ee-a0ad-00e01a6800eb#91e95b97-d574-11ee-a0ad-00e01a6800eb</t>
  </si>
  <si>
    <t>https://www.test.lavrpack.ru/local/templates/phoenix_v1/images_cache/thumbs/285feb0ff4d2fc30a265110ec3f5d06c.webp?v=1789992962</t>
  </si>
  <si>
    <t>8903567a-d574-11ee-a0ad-00e01a6800eb#55d5f147-d5f7-11ee-a0ad-00e01a6800eb</t>
  </si>
  <si>
    <t>Россия, Кофе с молоком</t>
  </si>
  <si>
    <t>https://www.test.lavrpack.ru/local/templates/phoenix_v1/images_cache/thumbs/88ddd5e7af368a1cc88e50b3014b5d88.webp?v=1789992962</t>
  </si>
  <si>
    <t>8903567a-d574-11ee-a0ad-00e01a6800eb#b7ab282f-d577-11ee-a0ad-00e01a6800eb</t>
  </si>
  <si>
    <t>https://www.test.lavrpack.ru/local/templates/phoenix_v1/images_cache/thumbs/a6a7452086f25067e0d2da35126e58be.webp?v=1789992962</t>
  </si>
  <si>
    <t>8903567a-d574-11ee-a0ad-00e01a6800eb#be21848d-d577-11ee-a0ad-00e01a6800eb</t>
  </si>
  <si>
    <t>Россия, Мята</t>
  </si>
  <si>
    <t>https://www.test.lavrpack.ru/local/templates/phoenix_v1/images_cache/thumbs/7638b3a860a9cf432011bfee09528b5b.webp?v=1789992962</t>
  </si>
  <si>
    <t>8903567a-d574-11ee-a0ad-00e01a6800eb#8479e796-d5f7-11ee-a0ad-00e01a6800eb</t>
  </si>
  <si>
    <t>https://www.test.lavrpack.ru/local/templates/phoenix_v1/images_cache/thumbs/f33f2f2ce46bde25308895bf048600eb.webp?v=1789992962</t>
  </si>
  <si>
    <t>e1621587-ed2e-11ef-ab3d-22344d083d2c#42a4fb37-ed2f-11ef-ab3d-22344d083d2c</t>
  </si>
  <si>
    <t>111361</t>
  </si>
  <si>
    <t>"Тонировка"60см×400гр</t>
  </si>
  <si>
    <t>https://www.test.lavrpack.ru/local/templates/phoenix_v1/images_cache/thumbs/b3a7e93c511a502187dbd64652edfafe.webp?v=1789992962</t>
  </si>
  <si>
    <t>e1621587-ed2e-11ef-ab3d-22344d083d2c#444d56bc-7c3f-11f0-ab48-22344d083d2c</t>
  </si>
  <si>
    <t>Россия, Яркая-сирень</t>
  </si>
  <si>
    <t>https://www.test.lavrpack.ru/local/templates/phoenix_v1/images_cache/thumbs/3d66218902269c8c8e46d9fd1c8cdd6b.webp?v=1789992962</t>
  </si>
  <si>
    <t>e1621587-ed2e-11ef-ab3d-22344d083d2c#477a3324-3d28-11f0-ab41-22344d083d2c</t>
  </si>
  <si>
    <t>https://www.test.lavrpack.ru/local/templates/phoenix_v1/images_cache/thumbs/5d800c39e0938a731b7370a65e3651b1.webp?v=1789992962</t>
  </si>
  <si>
    <t>e1621587-ed2e-11ef-ab3d-22344d083d2c#ee81d2e3-ed2e-11ef-ab3d-22344d083d2c</t>
  </si>
  <si>
    <t>https://www.test.lavrpack.ru/local/templates/phoenix_v1/images_cache/thumbs/ae70b92945463eff53db2a4a18f8c8b8.webp?v=1789992962</t>
  </si>
  <si>
    <t>e1621587-ed2e-11ef-ab3d-22344d083d2c#ee81d3cb-ed2e-11ef-ab3d-22344d083d2c</t>
  </si>
  <si>
    <t>https://www.test.lavrpack.ru/local/templates/phoenix_v1/images_cache/thumbs/845d273c474db391258de6f804f94e10.webp?v=1789992962</t>
  </si>
  <si>
    <t>e1621587-ed2e-11ef-ab3d-22344d083d2c#51a65f4a-ed2f-11ef-ab3d-22344d083d2c</t>
  </si>
  <si>
    <t>https://www.test.lavrpack.ru/local/templates/phoenix_v1/images_cache/thumbs/9b282164251bfc4031d5cb1d2ecc0e17.webp?v=1789992962</t>
  </si>
  <si>
    <t>e1621587-ed2e-11ef-ab3d-22344d083d2c#1e05d492-ed2f-11ef-ab3d-22344d083d2c</t>
  </si>
  <si>
    <t>https://www.test.lavrpack.ru/local/templates/phoenix_v1/images_cache/thumbs/9e985026c76782377c1f97b6aec30231.webp?v=1789992962</t>
  </si>
  <si>
    <t>6da389b3-3e28-11ed-8758-00e01a6800eb</t>
  </si>
  <si>
    <t>75941</t>
  </si>
  <si>
    <t>https://www.test.lavrpack.ru/local/templates/phoenix_v1/images_cache/thumbs/f9fa58575ea1ef8bd98d550521256664.webp?v=1790033754</t>
  </si>
  <si>
    <t>42a2bbf5-1a72-11ee-8f7e-00e01a6800eb</t>
  </si>
  <si>
    <t>103283</t>
  </si>
  <si>
    <t>"Тонировка"60см×800гр</t>
  </si>
  <si>
    <t>https://www.test.lavrpack.ru/local/templates/phoenix_v1/images_cache/thumbs/de09ba76c22145e8a4eb1a8477304f40.webp?v=1790033754</t>
  </si>
  <si>
    <t>4b589b8e-cef7-11ee-a0ad-00e01a6800eb#7adc53b5-cef7-11ee-a0ad-00e01a6800eb</t>
  </si>
  <si>
    <t>106224</t>
  </si>
  <si>
    <t>"Узкая полоса" 50см×10м</t>
  </si>
  <si>
    <t>https://www.test.lavrpack.ru/local/templates/phoenix_v1/images_cache/thumbs/bcde76c91877a693aa2675789884aab7.webp?v=1789992962</t>
  </si>
  <si>
    <t>4b589b8e-cef7-11ee-a0ad-00e01a6800eb#957db8b1-cef7-11ee-a0ad-00e01a6800eb</t>
  </si>
  <si>
    <t>Желтый</t>
  </si>
  <si>
    <t>https://www.test.lavrpack.ru/local/templates/phoenix_v1/images_cache/thumbs/b4d99abd328fc8df259aa45f84b54ce9.webp?v=1789992962</t>
  </si>
  <si>
    <t>5ba2a244-ccc4-11ee-a0ad-00e01a6800eb#7c8adca4-ccc9-11ee-a0ad-00e01a6800eb</t>
  </si>
  <si>
    <t>106128</t>
  </si>
  <si>
    <t>"Фаворит" 50см×10м</t>
  </si>
  <si>
    <t>https://www.test.lavrpack.ru/local/templates/phoenix_v1/images_cache/thumbs/c8738bfa593c50e4bddfd25316f0bdb2.webp?v=1789992962</t>
  </si>
  <si>
    <t>5ba2a244-ccc4-11ee-a0ad-00e01a6800eb#2b3d5a40-ccca-11ee-a0ad-00e01a6800eb</t>
  </si>
  <si>
    <t>Лайм</t>
  </si>
  <si>
    <t>https://www.test.lavrpack.ru/local/templates/phoenix_v1/images_cache/thumbs/4d7c58d4695d2a56a17ceb48b6cae4f9.webp?v=1789992962</t>
  </si>
  <si>
    <t>5ba2a244-ccc4-11ee-a0ad-00e01a6800eb#c5cf3c24-ccc7-11ee-a0ad-00e01a6800eb</t>
  </si>
  <si>
    <t>Темно-сиреневый</t>
  </si>
  <si>
    <t>https://www.test.lavrpack.ru/local/templates/phoenix_v1/images_cache/thumbs/9a24b26626bb0a4f1bec3f37c57ce0d4.webp?v=1789992962</t>
  </si>
  <si>
    <t>5ba2a244-ccc4-11ee-a0ad-00e01a6800eb#b29f1fde-ccc9-11ee-a0ad-00e01a6800eb</t>
  </si>
  <si>
    <t>Сапфировый</t>
  </si>
  <si>
    <t>https://www.test.lavrpack.ru/local/templates/phoenix_v1/images_cache/thumbs/862dd7956d4f1f454d113c22303e2516.webp?v=1789992962</t>
  </si>
  <si>
    <t>5ba2a244-ccc4-11ee-a0ad-00e01a6800eb#1138fb9a-ccc5-11ee-a0ad-00e01a6800eb</t>
  </si>
  <si>
    <t>https://www.test.lavrpack.ru/local/templates/phoenix_v1/images_cache/thumbs/2f2f6a2a77db843ccc6439c113c272e8.webp?v=1790033754</t>
  </si>
  <si>
    <t>5ba2a244-ccc4-11ee-a0ad-00e01a6800eb#ac41f6c3-ccc7-11ee-a0ad-00e01a6800eb</t>
  </si>
  <si>
    <t>Терракот</t>
  </si>
  <si>
    <t>https://www.test.lavrpack.ru/local/templates/phoenix_v1/images_cache/thumbs/f69a7b7ae0cce3617ba732584b75e548.webp?v=1789992962</t>
  </si>
  <si>
    <t>5ba2a244-ccc4-11ee-a0ad-00e01a6800eb#99735e62-ccc4-11ee-a0ad-00e01a6800eb</t>
  </si>
  <si>
    <t>https://www.test.lavrpack.ru/local/templates/phoenix_v1/images_cache/thumbs/ed1cdab39af5b43200a30611854091a5.webp?v=1789992962</t>
  </si>
  <si>
    <t>0860668e-cfe3-11ee-a0ad-00e01a6800eb#66061df2-cfe3-11ee-a0ad-00e01a6800eb</t>
  </si>
  <si>
    <t>106377</t>
  </si>
  <si>
    <t>"Love Life" 50м×10м</t>
  </si>
  <si>
    <t>0860668e-cfe3-11ee-a0ad-00e01a6800eb#538c6a8a-cfe3-11ee-a0ad-00e01a6800eb</t>
  </si>
  <si>
    <t>Ментол</t>
  </si>
  <si>
    <t>2613fedb-cfd5-11ee-a0ad-00e01a6800eb#56ddd319-cfd5-11ee-a0ad-00e01a6800eb</t>
  </si>
  <si>
    <t>106362</t>
  </si>
  <si>
    <t>"Roses" 58см×10м</t>
  </si>
  <si>
    <t>https://www.test.lavrpack.ru/local/templates/phoenix_v1/images_cache/thumbs/b04f58e160624bd48edfa41df71ce184.webp?v=1789992962</t>
  </si>
  <si>
    <t>2613fedb-cfd5-11ee-a0ad-00e01a6800eb#39855c38-cfd5-11ee-a0ad-00e01a6800eb</t>
  </si>
  <si>
    <t>https://www.test.lavrpack.ru/local/templates/phoenix_v1/images_cache/thumbs/17803b84c040a2ddac7211d16944a453.webp?v=1789992962</t>
  </si>
  <si>
    <t>2613fedb-cfd5-11ee-a0ad-00e01a6800eb#4769a4c6-cfd5-11ee-a0ad-00e01a6800eb</t>
  </si>
  <si>
    <t>Коричневый</t>
  </si>
  <si>
    <t>https://www.test.lavrpack.ru/local/templates/phoenix_v1/images_cache/thumbs/55cf5c91fcc8fdf84edc8eb257e9838f.webp?v=1790033754</t>
  </si>
  <si>
    <t>2613fedb-cfd5-11ee-a0ad-00e01a6800eb#40a97d0a-cfd5-11ee-a0ad-00e01a6800eb</t>
  </si>
  <si>
    <t>Небесный</t>
  </si>
  <si>
    <t>https://www.test.lavrpack.ru/local/templates/phoenix_v1/images_cache/thumbs/6471b0e7cc3ad2ca1a6a7c7aca21323e.webp?v=1789992962</t>
  </si>
  <si>
    <t>3ec4895a-778d-11ed-bb4b-00e01a6800eb#2f4c63bd-778e-11ed-bb4b-00e01a6800eb</t>
  </si>
  <si>
    <t>77716</t>
  </si>
  <si>
    <t>Ярко-сиреневый</t>
  </si>
  <si>
    <t>"The BEST" 50см×10м</t>
  </si>
  <si>
    <t>https://www.test.lavrpack.ru/local/templates/phoenix_v1/images_cache/thumbs/eef1b5964c0dada9438b13c4251b5012.webp?v=1789992962</t>
  </si>
  <si>
    <t>3ec4895a-778d-11ed-bb4b-00e01a6800eb#f2f6a050-778e-11ed-bb4b-00e01a6800eb</t>
  </si>
  <si>
    <t>Лаванда</t>
  </si>
  <si>
    <t>https://www.test.lavrpack.ru/local/templates/phoenix_v1/images_cache/thumbs/1aa9aa2264250b29b6bf23ecc12c9772.webp?v=1789992962</t>
  </si>
  <si>
    <t>3ec4895a-778d-11ed-bb4b-00e01a6800eb#301cff77-9595-11ed-bb4b-00e01a6800eb</t>
  </si>
  <si>
    <t>Винный</t>
  </si>
  <si>
    <t>https://www.test.lavrpack.ru/local/templates/phoenix_v1/images_cache/thumbs/eb1615cc02ae786b2e64678ba9e53cea.webp?v=1789992962</t>
  </si>
  <si>
    <t>3ec4895a-778d-11ed-bb4b-00e01a6800eb#89bbd125-9595-11ed-bb4b-00e01a6800eb</t>
  </si>
  <si>
    <t>https://www.test.lavrpack.ru/local/templates/phoenix_v1/images_cache/thumbs/1b3ad76c72ff71f3c6e9ede55df3f968.webp?v=1789992962</t>
  </si>
  <si>
    <t>3ec4895a-778d-11ed-bb4b-00e01a6800eb#c9908d04-778d-11ed-bb4b-00e01a6800eb</t>
  </si>
  <si>
    <t>Коралловый</t>
  </si>
  <si>
    <t>https://www.test.lavrpack.ru/local/templates/phoenix_v1/images_cache/thumbs/c4d71e1bf1e86a6b33f9a1924dbefebf.webp?v=1789992962</t>
  </si>
  <si>
    <t>3ec4895a-778d-11ed-bb4b-00e01a6800eb#d233eb63-778d-11ed-bb4b-00e01a6800eb</t>
  </si>
  <si>
    <t>Чайная роза</t>
  </si>
  <si>
    <t>https://www.test.lavrpack.ru/local/templates/phoenix_v1/images_cache/thumbs/5b440e7ce9f2423d7915c9eb83116edf.webp?v=1789992962</t>
  </si>
  <si>
    <t>3ec4895a-778d-11ed-bb4b-00e01a6800eb#fff402f4-778e-11ed-bb4b-00e01a6800eb</t>
  </si>
  <si>
    <t>Тиффани</t>
  </si>
  <si>
    <t>https://www.test.lavrpack.ru/local/templates/phoenix_v1/images_cache/thumbs/5375d151ae65569fce743f2ef7c1e12c.webp?v=1789992962</t>
  </si>
  <si>
    <t>3ec4895a-778d-11ed-bb4b-00e01a6800eb#73470edf-9595-11ed-bb4b-00e01a6800eb</t>
  </si>
  <si>
    <t>Серо-голубой</t>
  </si>
  <si>
    <t>https://www.test.lavrpack.ru/local/templates/phoenix_v1/images_cache/thumbs/479f92a302683916436f99faef7f1dd3.webp?v=1789992962</t>
  </si>
  <si>
    <t>3ec4895a-778d-11ed-bb4b-00e01a6800eb#beb23b35-3603-11ee-a5bc-00e01a6800eb</t>
  </si>
  <si>
    <t>Светло-зеленый</t>
  </si>
  <si>
    <t>https://www.test.lavrpack.ru/local/templates/phoenix_v1/images_cache/thumbs/fb2167b0c4e53fe83d61313de864aa87.webp?v=1789992962</t>
  </si>
  <si>
    <t>3ec4895a-778d-11ed-bb4b-00e01a6800eb#724cbaa9-778d-11ed-bb4b-00e01a6800eb</t>
  </si>
  <si>
    <t>Слоновая кость</t>
  </si>
  <si>
    <t>https://www.test.lavrpack.ru/local/templates/phoenix_v1/images_cache/thumbs/eb64934d7df8ff2c4f165a46921efddf.webp?v=1789992962</t>
  </si>
  <si>
    <t>3ec4895a-778d-11ed-bb4b-00e01a6800eb#9a6f12d2-778e-11ed-bb4b-00e01a6800eb</t>
  </si>
  <si>
    <t>https://www.test.lavrpack.ru/local/templates/phoenix_v1/images_cache/thumbs/737b3795436fad3968605462495eeadc.webp?v=1789992962</t>
  </si>
  <si>
    <t>3ec4895a-778d-11ed-bb4b-00e01a6800eb#9e129644-9595-11ed-bb4b-00e01a6800eb</t>
  </si>
  <si>
    <t>https://www.test.lavrpack.ru/local/templates/phoenix_v1/images_cache/thumbs/fa1717a2cbcfee55d1a6b73ca13fba12.webp?v=1789992962</t>
  </si>
  <si>
    <t>3ec4895a-778d-11ed-bb4b-00e01a6800eb#6b961913-778d-11ed-bb4b-00e01a6800eb</t>
  </si>
  <si>
    <t>Шампань</t>
  </si>
  <si>
    <t>https://www.test.lavrpack.ru/local/templates/phoenix_v1/images_cache/thumbs/e0d0bd3b06c93e7281f7bbba9744c49c.webp?v=1789992962</t>
  </si>
  <si>
    <t>3ec4895a-778d-11ed-bb4b-00e01a6800eb#a282f997-778d-11ed-bb4b-00e01a6800eb</t>
  </si>
  <si>
    <t>Светло розовый</t>
  </si>
  <si>
    <t>https://www.test.lavrpack.ru/local/templates/phoenix_v1/images_cache/thumbs/f2047c9b361bf1b4829de945dc5b1dcb.webp?v=1789992962</t>
  </si>
  <si>
    <t>3ec4895a-778d-11ed-bb4b-00e01a6800eb#3f7c9f9e-778e-11ed-bb4b-00e01a6800eb</t>
  </si>
  <si>
    <t>https://www.test.lavrpack.ru/local/templates/phoenix_v1/images_cache/thumbs/7e25a566f0a5dfd8a1314d6e8d15598b.webp?v=1789992962</t>
  </si>
  <si>
    <t>3ec4895a-778d-11ed-bb4b-00e01a6800eb#67d9d510-778e-11ed-bb4b-00e01a6800eb</t>
  </si>
  <si>
    <t>Хаки</t>
  </si>
  <si>
    <t>https://www.test.lavrpack.ru/local/templates/phoenix_v1/images_cache/thumbs/00e35da5306b946f101464b0ded2910f.webp?v=1789992962</t>
  </si>
  <si>
    <t>3ec4895a-778d-11ed-bb4b-00e01a6800eb#6fa958f7-778e-11ed-bb4b-00e01a6800eb</t>
  </si>
  <si>
    <t>Салатовый</t>
  </si>
  <si>
    <t>https://www.test.lavrpack.ru/local/templates/phoenix_v1/images_cache/thumbs/cc683053148d75864197f9fc02d29fb0.webp?v=1789992962</t>
  </si>
  <si>
    <t>3ec4895a-778d-11ed-bb4b-00e01a6800eb#a5a3fab2-95ec-11ef-ab37-22344d083d2c</t>
  </si>
  <si>
    <t>Манго</t>
  </si>
  <si>
    <t>https://www.test.lavrpack.ru/local/templates/phoenix_v1/images_cache/thumbs/6af10c379856c0bbaff693b7d97982c2.webp?v=1789992962</t>
  </si>
  <si>
    <t>3ec4895a-778d-11ed-bb4b-00e01a6800eb#a8ad29ff-778d-11ed-bb4b-00e01a6800eb</t>
  </si>
  <si>
    <t>https://www.test.lavrpack.ru/local/templates/phoenix_v1/images_cache/thumbs/b70a9187c1c57410f34317354f8570b6.webp?v=1789992962</t>
  </si>
  <si>
    <t>3ec4895a-778d-11ed-bb4b-00e01a6800eb#c05bfab5-778d-11ed-bb4b-00e01a6800eb</t>
  </si>
  <si>
    <t>Пудра</t>
  </si>
  <si>
    <t>https://www.test.lavrpack.ru/local/templates/phoenix_v1/images_cache/thumbs/83261d6d528831e6ce5fc2475924b3da.webp?v=1789992962</t>
  </si>
  <si>
    <t>3ec4895a-778d-11ed-bb4b-00e01a6800eb#e7ec79e3-778d-11ed-bb4b-00e01a6800eb</t>
  </si>
  <si>
    <t>https://www.test.lavrpack.ru/local/templates/phoenix_v1/images_cache/thumbs/e1d71796bde97c7c3d7565d61fd596b8.webp?v=1789992962</t>
  </si>
  <si>
    <t>3ec4895a-778d-11ed-bb4b-00e01a6800eb#ef8ec3a4-778d-11ed-bb4b-00e01a6800eb</t>
  </si>
  <si>
    <t>Бордо</t>
  </si>
  <si>
    <t>https://www.test.lavrpack.ru/local/templates/phoenix_v1/images_cache/thumbs/64fa7a53116fc73f973e5652bc41d887.webp?v=1789992962</t>
  </si>
  <si>
    <t>3ec4895a-778d-11ed-bb4b-00e01a6800eb#17859e43-778e-11ed-bb4b-00e01a6800eb</t>
  </si>
  <si>
    <t>Сиреневый</t>
  </si>
  <si>
    <t>https://www.test.lavrpack.ru/local/templates/phoenix_v1/images_cache/thumbs/16e2b574d0493a472b322485ac79627c.webp?v=1789992962</t>
  </si>
  <si>
    <t>3ec4895a-778d-11ed-bb4b-00e01a6800eb#57f3640d-778e-11ed-bb4b-00e01a6800eb</t>
  </si>
  <si>
    <t>Фисташка</t>
  </si>
  <si>
    <t>https://www.test.lavrpack.ru/local/templates/phoenix_v1/images_cache/thumbs/af16a7841ab23dc767b55a46e411dc9e.webp?v=1789992962</t>
  </si>
  <si>
    <t>3ec4895a-778d-11ed-bb4b-00e01a6800eb#3b692740-9595-11ed-bb4b-00e01a6800eb</t>
  </si>
  <si>
    <t>https://www.test.lavrpack.ru/local/templates/phoenix_v1/images_cache/thumbs/df6c3bf975c005d1d22ad9fda13dd928.webp?v=1789992962</t>
  </si>
  <si>
    <t>3ec4895a-778d-11ed-bb4b-00e01a6800eb#cc14d5bf-3601-11ee-a5bc-00e01a6800eb</t>
  </si>
  <si>
    <t>Карамельный</t>
  </si>
  <si>
    <t>https://www.test.lavrpack.ru/local/templates/phoenix_v1/images_cache/thumbs/cd96a8291b57a76be788a1f81b81e156.webp?v=1789992962</t>
  </si>
  <si>
    <t>3ec4895a-778d-11ed-bb4b-00e01a6800eb#04dc8b08-3604-11ee-a5bc-00e01a6800eb</t>
  </si>
  <si>
    <t>https://www.test.lavrpack.ru/local/templates/phoenix_v1/images_cache/thumbs/65ef563fb3d967b7dc6f5cd6e4f15182.webp?v=1789992962</t>
  </si>
  <si>
    <t>3ec4895a-778d-11ed-bb4b-00e01a6800eb#1e414c90-5bf1-11f0-ab43-22344d083d2c</t>
  </si>
  <si>
    <t>Мокко</t>
  </si>
  <si>
    <t>https://www.test.lavrpack.ru/local/templates/phoenix_v1/images_cache/thumbs/074f0b8c0e2c59477f6a1b55dadd74e0.webp?v=1790033754</t>
  </si>
  <si>
    <t>3ec4895a-778d-11ed-bb4b-00e01a6800eb#f7892061-778d-11ed-bb4b-00e01a6800eb</t>
  </si>
  <si>
    <t>https://www.test.lavrpack.ru/local/templates/phoenix_v1/images_cache/thumbs/781f1ec16b2328d8e8fb278ae9feccff.webp?v=1789992962</t>
  </si>
  <si>
    <t>3ec4895a-778d-11ed-bb4b-00e01a6800eb#4ef7f290-778e-11ed-bb4b-00e01a6800eb</t>
  </si>
  <si>
    <t>https://www.test.lavrpack.ru/local/templates/phoenix_v1/images_cache/thumbs/f2c0b8f56848dfb49190b73c0b4e43db.webp?v=1789992962</t>
  </si>
  <si>
    <t>3ec4895a-778d-11ed-bb4b-00e01a6800eb#b894401c-778e-11ed-bb4b-00e01a6800eb</t>
  </si>
  <si>
    <t>https://www.test.lavrpack.ru/local/templates/phoenix_v1/images_cache/thumbs/9209ffcbe017a4b4c26fc86d6468fede.webp?v=1789992962</t>
  </si>
  <si>
    <t>3ec4895a-778d-11ed-bb4b-00e01a6800eb#e7da13e9-778e-11ed-bb4b-00e01a6800eb</t>
  </si>
  <si>
    <t>Апельсиновый</t>
  </si>
  <si>
    <t>https://www.test.lavrpack.ru/local/templates/phoenix_v1/images_cache/thumbs/9aaeec8ed0ce4242260cafb4c70565eb.webp?v=1789992962</t>
  </si>
  <si>
    <t>3ec4895a-778d-11ed-bb4b-00e01a6800eb#81881f6a-3603-11ee-a5bc-00e01a6800eb</t>
  </si>
  <si>
    <t>Травяной</t>
  </si>
  <si>
    <t>https://www.test.lavrpack.ru/local/templates/phoenix_v1/images_cache/thumbs/6f44204687915439afd00c0139632141.webp?v=1789992962</t>
  </si>
  <si>
    <t>3ec4895a-778d-11ed-bb4b-00e01a6800eb#63675e22-778d-11ed-bb4b-00e01a6800eb</t>
  </si>
  <si>
    <t>https://www.test.lavrpack.ru/local/templates/phoenix_v1/images_cache/thumbs/4675d0a683a8deebdda9989a2c49d044.webp?v=1789992962</t>
  </si>
  <si>
    <t>3ec4895a-778d-11ed-bb4b-00e01a6800eb#9b5ed8c5-778d-11ed-bb4b-00e01a6800eb</t>
  </si>
  <si>
    <t>Пыльно розовый</t>
  </si>
  <si>
    <t>https://www.test.lavrpack.ru/local/templates/phoenix_v1/images_cache/thumbs/ccf81961e2438ec682215daaeb7ab9cd.webp?v=1789992962</t>
  </si>
  <si>
    <t>3ec4895a-778d-11ed-bb4b-00e01a6800eb#218e0af9-778e-11ed-bb4b-00e01a6800eb</t>
  </si>
  <si>
    <t>https://www.test.lavrpack.ru/local/templates/phoenix_v1/images_cache/thumbs/b508b2b93c202cb550d6dbd8a1efaa62.webp?v=1789992962</t>
  </si>
  <si>
    <t>3ec4895a-778d-11ed-bb4b-00e01a6800eb#93f65501-778e-11ed-bb4b-00e01a6800eb</t>
  </si>
  <si>
    <t>Горчичный</t>
  </si>
  <si>
    <t>https://www.test.lavrpack.ru/local/templates/phoenix_v1/images_cache/thumbs/459e0043f0bbadd7a56aa55afa4bfeaa.webp?v=1789992962</t>
  </si>
  <si>
    <t>3ec4895a-778d-11ed-bb4b-00e01a6800eb#0ec22219-9595-11ed-bb4b-00e01a6800eb</t>
  </si>
  <si>
    <t>https://www.test.lavrpack.ru/local/templates/phoenix_v1/images_cache/thumbs/5f5d1d551558c4527849321f5cab1a44.webp?v=1789992962</t>
  </si>
  <si>
    <t>3ec4895a-778d-11ed-bb4b-00e01a6800eb#996f7131-95ec-11ef-ab37-22344d083d2c</t>
  </si>
  <si>
    <t>Желток</t>
  </si>
  <si>
    <t>https://www.test.lavrpack.ru/local/templates/phoenix_v1/images_cache/thumbs/ec98a23e29d494a1441afdb0b741f7e9.webp?v=1789992962</t>
  </si>
  <si>
    <t>3ec4895a-778d-11ed-bb4b-00e01a6800eb#5aba7a42-778d-11ed-bb4b-00e01a6800eb</t>
  </si>
  <si>
    <t>https://www.test.lavrpack.ru/local/templates/phoenix_v1/images_cache/thumbs/0f1b0e2832dd7cf7bf2d4d1a443c43db.webp?v=1789992962</t>
  </si>
  <si>
    <t>3ec4895a-778d-11ed-bb4b-00e01a6800eb#8e50ccfa-778d-11ed-bb4b-00e01a6800eb</t>
  </si>
  <si>
    <t>Нежно розовый</t>
  </si>
  <si>
    <t>https://www.test.lavrpack.ru/local/templates/phoenix_v1/images_cache/thumbs/de426a6e901fb6242f784b5844b999e1.webp?v=1789992962</t>
  </si>
  <si>
    <t>3ec4895a-778d-11ed-bb4b-00e01a6800eb#60ec7409-778e-11ed-bb4b-00e01a6800eb</t>
  </si>
  <si>
    <t>Оливковый</t>
  </si>
  <si>
    <t>https://www.test.lavrpack.ru/local/templates/phoenix_v1/images_cache/thumbs/f6b5768235ced42b3b3a332d54350fe1.webp?v=1789992962</t>
  </si>
  <si>
    <t>3ec4895a-778d-11ed-bb4b-00e01a6800eb#ac6f7af6-778e-11ed-bb4b-00e01a6800eb</t>
  </si>
  <si>
    <t>https://www.test.lavrpack.ru/local/templates/phoenix_v1/images_cache/thumbs/413363b6835fd1031f83b4bac59f3d09.webp?v=1789992962</t>
  </si>
  <si>
    <t>3ec4895a-778d-11ed-bb4b-00e01a6800eb#503d58c7-9595-11ed-bb4b-00e01a6800eb</t>
  </si>
  <si>
    <t>Светло сиреневый</t>
  </si>
  <si>
    <t>https://www.test.lavrpack.ru/local/templates/phoenix_v1/images_cache/thumbs/984ac19574a10f9e6a46fa82190009af.webp?v=1789992962</t>
  </si>
  <si>
    <t>3ec4895a-778d-11ed-bb4b-00e01a6800eb#b8ccbbf6-778d-11ed-bb4b-00e01a6800eb</t>
  </si>
  <si>
    <t>Ярко розовый</t>
  </si>
  <si>
    <t>https://www.test.lavrpack.ru/local/templates/phoenix_v1/images_cache/thumbs/1dbc1e3edf2548ae7fc9e2825c3f143f.webp?v=1789992962</t>
  </si>
  <si>
    <t>3ec4895a-778d-11ed-bb4b-00e01a6800eb#105d5f73-778f-11ed-bb4b-00e01a6800eb</t>
  </si>
  <si>
    <t>Бирюзовый</t>
  </si>
  <si>
    <t>https://www.test.lavrpack.ru/local/templates/phoenix_v1/images_cache/thumbs/4c70ace90889ae20ee61630d8933dc50.webp?v=1789992962</t>
  </si>
  <si>
    <t>3ec4895a-778d-11ed-bb4b-00e01a6800eb#18c2da0a-778f-11ed-bb4b-00e01a6800eb</t>
  </si>
  <si>
    <t>Золото</t>
  </si>
  <si>
    <t>https://www.test.lavrpack.ru/local/templates/phoenix_v1/images_cache/thumbs/7bce3fa4c5deae114bceaede87f125e2.webp?v=1789992962</t>
  </si>
  <si>
    <t>3ec4895a-778d-11ed-bb4b-00e01a6800eb#7caf9bf3-778d-11ed-bb4b-00e01a6800eb</t>
  </si>
  <si>
    <t>Бежевый</t>
  </si>
  <si>
    <t>https://www.test.lavrpack.ru/local/templates/phoenix_v1/images_cache/thumbs/dd6364624c16c7a3d2ab1add4327a6e1.webp?v=1789992962</t>
  </si>
  <si>
    <t>3ec4895a-778d-11ed-bb4b-00e01a6800eb#845b6aff-778d-11ed-bb4b-00e01a6800eb</t>
  </si>
  <si>
    <t>Лосось</t>
  </si>
  <si>
    <t>https://www.test.lavrpack.ru/local/templates/phoenix_v1/images_cache/thumbs/d1d7ab6647822e5deb22dbe8988fdfe4.webp?v=1789992962</t>
  </si>
  <si>
    <t>3ec4895a-778d-11ed-bb4b-00e01a6800eb#d8f4126a-778d-11ed-bb4b-00e01a6800eb</t>
  </si>
  <si>
    <t>Фуксия</t>
  </si>
  <si>
    <t>https://www.test.lavrpack.ru/local/templates/phoenix_v1/images_cache/thumbs/c06fd71b5cd4318be5050cb30c8208cd.webp?v=1789992962</t>
  </si>
  <si>
    <t>3ec4895a-778d-11ed-bb4b-00e01a6800eb#1091190a-778e-11ed-bb4b-00e01a6800eb</t>
  </si>
  <si>
    <t>Глициния</t>
  </si>
  <si>
    <t>https://www.test.lavrpack.ru/local/templates/phoenix_v1/images_cache/thumbs/caf725f4c04af33b0a561628e5d32315.webp?v=1789992962</t>
  </si>
  <si>
    <t>3ec4895a-778d-11ed-bb4b-00e01a6800eb#39468831-778e-11ed-bb4b-00e01a6800eb</t>
  </si>
  <si>
    <t>Сливовый</t>
  </si>
  <si>
    <t>https://www.test.lavrpack.ru/local/templates/phoenix_v1/images_cache/thumbs/1b1d20cac8d1c93e9aec0788d74cecac.webp?v=1789992962</t>
  </si>
  <si>
    <t>3ec4895a-778d-11ed-bb4b-00e01a6800eb#481d9c78-778e-11ed-bb4b-00e01a6800eb</t>
  </si>
  <si>
    <t>Голубой</t>
  </si>
  <si>
    <t>https://www.test.lavrpack.ru/local/templates/phoenix_v1/images_cache/thumbs/1383d140e613e5a83e48427fa902a2d3.webp?v=1789992962</t>
  </si>
  <si>
    <t>3ec4895a-778d-11ed-bb4b-00e01a6800eb#d1cba142-9594-11ed-bb4b-00e01a6800eb</t>
  </si>
  <si>
    <t>Кофе с молоком</t>
  </si>
  <si>
    <t>https://www.test.lavrpack.ru/local/templates/phoenix_v1/images_cache/thumbs/9476653286e3d1d737af1c6c8b5a18e4.webp?v=1789992962</t>
  </si>
  <si>
    <t>e9dd1fb0-9472-11f0-ab48-22344d083d2c#58577557-4d2b-11f1-ab50-22344d083d2c</t>
  </si>
  <si>
    <t>114951</t>
  </si>
  <si>
    <t>"The BEST" 50см×30м</t>
  </si>
  <si>
    <t>https://www.test.lavrpack.ru/local/templates/phoenix_v1/images_cache/thumbs/4b8b66e51cd4b600de8c1e624345fd66.webp?v=1790033754</t>
  </si>
  <si>
    <t>e9dd1fb0-9472-11f0-ab48-22344d083d2c#73584654-a8c4-11f0-ab48-22344d083d2c</t>
  </si>
  <si>
    <t>https://www.test.lavrpack.ru/local/templates/phoenix_v1/images_cache/thumbs/871992a58fdf86e1cca2c2460d79b237.webp?v=1789992962</t>
  </si>
  <si>
    <t>e9dd1fb0-9472-11f0-ab48-22344d083d2c#1960aa56-9473-11f0-ab48-22344d083d2c</t>
  </si>
  <si>
    <t>https://www.test.lavrpack.ru/local/templates/phoenix_v1/images_cache/thumbs/ac5fd686b2645387e8332b376232742a.webp?v=1789992962</t>
  </si>
  <si>
    <t>e9dd1fb0-9472-11f0-ab48-22344d083d2c#7fa27e74-a8c4-11f0-ab48-22344d083d2c</t>
  </si>
  <si>
    <t>https://www.test.lavrpack.ru/local/templates/phoenix_v1/images_cache/thumbs/210805edab2c65230142b6f29fe7269e.webp?v=1789992962</t>
  </si>
  <si>
    <t>e9dd1fb0-9472-11f0-ab48-22344d083d2c#fcfeb9bf-9472-11f0-ab48-22344d083d2c</t>
  </si>
  <si>
    <t>Пыльно-розовый</t>
  </si>
  <si>
    <t>https://www.test.lavrpack.ru/local/templates/phoenix_v1/images_cache/thumbs/f00eea4de1810bdf893b23e493d788f3.webp?v=1789992962</t>
  </si>
  <si>
    <t>e9dd1fb0-9472-11f0-ab48-22344d083d2c#8baf242d-a8c4-11f0-ab48-22344d083d2c</t>
  </si>
  <si>
    <t>https://www.test.lavrpack.ru/local/templates/phoenix_v1/images_cache/thumbs/7536223441dc6114de677ebea8c6ee25.webp?v=1789992962</t>
  </si>
  <si>
    <t>e9dd1fb0-9472-11f0-ab48-22344d083d2c#1c526470-a52b-11f1-ab51-22344d083d2c</t>
  </si>
  <si>
    <t>e9dd1fb0-9472-11f0-ab48-22344d083d2c#5253d811-4d2b-11f1-ab50-22344d083d2c</t>
  </si>
  <si>
    <t>e9dd1fb0-9472-11f0-ab48-22344d083d2c#3f29856d-4d2b-11f1-ab50-22344d083d2c</t>
  </si>
  <si>
    <t>e9dd1fb0-9472-11f0-ab48-22344d083d2c#45b6c50e-4d2b-11f1-ab50-22344d083d2c</t>
  </si>
  <si>
    <t>Светло-сиреневый</t>
  </si>
  <si>
    <t>e9dd1fb0-9472-11f0-ab48-22344d083d2c#2ae01b69-4d2b-11f1-ab50-22344d083d2c</t>
  </si>
  <si>
    <t>e9dd1fb0-9472-11f0-ab48-22344d083d2c#380679ea-4d2b-11f1-ab50-22344d083d2c</t>
  </si>
  <si>
    <t>Светло-розовый</t>
  </si>
  <si>
    <t>e9dd1fb0-9472-11f0-ab48-22344d083d2c#b081dbef-8508-11f1-ab51-22344d083d2c</t>
  </si>
  <si>
    <t>Оливка</t>
  </si>
  <si>
    <t>e9dd1fb0-9472-11f0-ab48-22344d083d2c#105c8d65-a52b-11f1-ab51-22344d083d2c</t>
  </si>
  <si>
    <t>e9dd1fb0-9472-11f0-ab48-22344d083d2c#f5eb4ff1-9472-11f0-ab48-22344d083d2c</t>
  </si>
  <si>
    <t>https://www.test.lavrpack.ru/local/templates/phoenix_v1/images_cache/thumbs/53b8eca83dafe2451dffb4f14b2cd907.webp?v=1789992962</t>
  </si>
  <si>
    <t>e9dd1fb0-9472-11f0-ab48-22344d083d2c#030465f6-9473-11f0-ab48-22344d083d2c</t>
  </si>
  <si>
    <t>https://www.test.lavrpack.ru/local/templates/phoenix_v1/images_cache/thumbs/772ac74c2eab2281bb64eec715144b93.webp?v=1789992962</t>
  </si>
  <si>
    <t>e9dd1fb0-9472-11f0-ab48-22344d083d2c#111c29f4-9473-11f0-ab48-22344d083d2c</t>
  </si>
  <si>
    <t>https://www.test.lavrpack.ru/local/templates/phoenix_v1/images_cache/thumbs/fd068c7a98361a89b3d9ba0100990638.webp?v=1789992962</t>
  </si>
  <si>
    <t>e9dd1fb0-9472-11f0-ab48-22344d083d2c#20fe79de-9473-11f0-ab48-22344d083d2c</t>
  </si>
  <si>
    <t>https://www.test.lavrpack.ru/local/templates/phoenix_v1/images_cache/thumbs/d49a468fabf25a8a6af4b6cdd0868cbc.webp?v=1789992962</t>
  </si>
  <si>
    <t>e9dd1fb0-9472-11f0-ab48-22344d083d2c#16562454-a52b-11f1-ab51-22344d083d2c</t>
  </si>
  <si>
    <t>04975a81-95ed-11ef-ab37-22344d083d2c#68a550e3-95ee-11ef-ab37-22344d083d2c</t>
  </si>
  <si>
    <t>110204</t>
  </si>
  <si>
    <t>Апельсин/желток</t>
  </si>
  <si>
    <t>"The BEST" двухсторонняя 50см×10м</t>
  </si>
  <si>
    <t>https://www.test.lavrpack.ru/local/templates/phoenix_v1/images_cache/thumbs/b44de95f184cff656056f78f31ebee6b.webp?v=1789992962</t>
  </si>
  <si>
    <t>04975a81-95ed-11ef-ab37-22344d083d2c#8e896ee7-95ee-11ef-ab37-22344d083d2c</t>
  </si>
  <si>
    <t>Кораловый/розовый</t>
  </si>
  <si>
    <t>https://www.test.lavrpack.ru/local/templates/phoenix_v1/images_cache/thumbs/4a940f1ecc2d3fcc96328cfae2d95299.webp?v=1789992962</t>
  </si>
  <si>
    <t>04975a81-95ed-11ef-ab37-22344d083d2c#1dfa2502-95ed-11ef-ab37-22344d083d2c</t>
  </si>
  <si>
    <t>Розовый/фуксия</t>
  </si>
  <si>
    <t>https://www.test.lavrpack.ru/local/templates/phoenix_v1/images_cache/thumbs/345e1e046b6510786c2e66805dfa0879.webp?v=1789992962</t>
  </si>
  <si>
    <t>04975a81-95ed-11ef-ab37-22344d083d2c#24df8014-95ed-11ef-ab37-22344d083d2c</t>
  </si>
  <si>
    <t>Пыльно-розовый/карамельный</t>
  </si>
  <si>
    <t>https://www.test.lavrpack.ru/local/templates/phoenix_v1/images_cache/thumbs/2df08aa386f920aaf8e4000292ffbf5a.webp?v=1789992962</t>
  </si>
  <si>
    <t>04975a81-95ed-11ef-ab37-22344d083d2c#390612be-95ee-11ef-ab37-22344d083d2c</t>
  </si>
  <si>
    <t>Желток/манго</t>
  </si>
  <si>
    <t>https://www.test.lavrpack.ru/local/templates/phoenix_v1/images_cache/thumbs/003b5d1a3248d5a32f025fdf77aad418.webp?v=1789992962</t>
  </si>
  <si>
    <t>04975a81-95ed-11ef-ab37-22344d083d2c#a165f2de-95ee-11ef-ab37-22344d083d2c</t>
  </si>
  <si>
    <t>Фисташка/карамель</t>
  </si>
  <si>
    <t>https://www.test.lavrpack.ru/local/templates/phoenix_v1/images_cache/thumbs/614dd211dbafb7fffcb0ac24d9203069.webp?v=1789992962</t>
  </si>
  <si>
    <t>04975a81-95ed-11ef-ab37-22344d083d2c#1a020469-95ee-11ef-ab37-22344d083d2c</t>
  </si>
  <si>
    <t>Розовый/небесный</t>
  </si>
  <si>
    <t>https://www.test.lavrpack.ru/local/templates/phoenix_v1/images_cache/thumbs/38a867949a8f8b5be745fc50f40f5067.webp?v=1789992962</t>
  </si>
  <si>
    <t>04975a81-95ed-11ef-ab37-22344d083d2c#83a0a592-95ee-11ef-ab37-22344d083d2c</t>
  </si>
  <si>
    <t>Кораловый/винный</t>
  </si>
  <si>
    <t>https://www.test.lavrpack.ru/local/templates/phoenix_v1/images_cache/thumbs/60a2d2c622b4274f2be484ffbf6c4cd7.webp?v=1789992962</t>
  </si>
  <si>
    <t>04975a81-95ed-11ef-ab37-22344d083d2c#9ace45d8-95ee-11ef-ab37-22344d083d2c</t>
  </si>
  <si>
    <t>Сливовый/темно-сиреневый</t>
  </si>
  <si>
    <t>https://www.test.lavrpack.ru/local/templates/phoenix_v1/images_cache/thumbs/1a40a104f35490da58928086d2ed2e88.webp?v=1789992962</t>
  </si>
  <si>
    <t>04975a81-95ed-11ef-ab37-22344d083d2c#10fe5e7d-95ed-11ef-ab37-22344d083d2c</t>
  </si>
  <si>
    <t>Золотой/красный</t>
  </si>
  <si>
    <t>https://www.test.lavrpack.ru/local/templates/phoenix_v1/images_cache/thumbs/2478c1bf4e00c00e18dc4f60f8b72974.webp?v=1789992962</t>
  </si>
  <si>
    <t>04975a81-95ed-11ef-ab37-22344d083d2c#abf73fad-95ee-11ef-ab37-22344d083d2c</t>
  </si>
  <si>
    <t>Фисташка/хакки</t>
  </si>
  <si>
    <t>https://www.test.lavrpack.ru/local/templates/phoenix_v1/images_cache/thumbs/80fd5fcbe8566b93f49b0ebc4b3e5a3b.webp?v=1789992962</t>
  </si>
  <si>
    <t>04975a81-95ed-11ef-ab37-22344d083d2c#f8f28cca-95ed-11ef-ab37-22344d083d2c</t>
  </si>
  <si>
    <t>Сиреневый/ярко-сиреневый</t>
  </si>
  <si>
    <t>https://www.test.lavrpack.ru/local/templates/phoenix_v1/images_cache/thumbs/4e5f82202fe13a912e7f69b621d4c496.webp?v=1789992962</t>
  </si>
  <si>
    <t>04975a81-95ed-11ef-ab37-22344d083d2c#12e623ce-95ee-11ef-ab37-22344d083d2c</t>
  </si>
  <si>
    <t>Сиреневый/ярко розовый</t>
  </si>
  <si>
    <t>https://www.test.lavrpack.ru/local/templates/phoenix_v1/images_cache/thumbs/169b0c528353df9ecb223182d709a2cb.webp?v=1789992962</t>
  </si>
  <si>
    <t>04975a81-95ed-11ef-ab37-22344d083d2c#06bed04d-95ee-11ef-ab37-22344d083d2c</t>
  </si>
  <si>
    <t>Светло-розовый/стальной</t>
  </si>
  <si>
    <t>https://www.test.lavrpack.ru/local/templates/phoenix_v1/images_cache/thumbs/209afb13cf734851d66a2478ca98cbcb.webp?v=1789992962</t>
  </si>
  <si>
    <t>04975a81-95ed-11ef-ab37-22344d083d2c#74e2f024-95ee-11ef-ab37-22344d083d2c</t>
  </si>
  <si>
    <t>Ярко сиреневый/фуксия</t>
  </si>
  <si>
    <t>https://www.test.lavrpack.ru/local/templates/phoenix_v1/images_cache/thumbs/5b0f92bd6f201350f69d2d2c2d8373d5.webp?v=1789992962</t>
  </si>
  <si>
    <t>04975a81-95ed-11ef-ab37-22344d083d2c#311320be-95ed-11ef-ab37-22344d083d2c</t>
  </si>
  <si>
    <t>Шампань/глициния</t>
  </si>
  <si>
    <t>https://www.test.lavrpack.ru/local/templates/phoenix_v1/images_cache/thumbs/846f8546276e53c33ef99d82a2d3dc7b.webp?v=1789992962</t>
  </si>
  <si>
    <t>04975a81-95ed-11ef-ab37-22344d083d2c#370f34de-95ed-11ef-ab37-22344d083d2c</t>
  </si>
  <si>
    <t>Слоновая кость/бежевый</t>
  </si>
  <si>
    <t>https://www.test.lavrpack.ru/local/templates/phoenix_v1/images_cache/thumbs/c157a39d96f12883b2a17906008ee7d9.webp?v=1789992962</t>
  </si>
  <si>
    <t>04975a81-95ed-11ef-ab37-22344d083d2c#263e02ec-95ee-11ef-ab37-22344d083d2c</t>
  </si>
  <si>
    <t>Персик/розовый</t>
  </si>
  <si>
    <t>https://www.test.lavrpack.ru/local/templates/phoenix_v1/images_cache/thumbs/f465d208c6370ba3b96f90edd800bd2c.webp?v=1789992962</t>
  </si>
  <si>
    <t>e3f4fed0-cc07-11ee-a0ad-00e01a6800eb#5b83dc65-cc08-11ee-a0ad-00e01a6800eb</t>
  </si>
  <si>
    <t>106113</t>
  </si>
  <si>
    <t>градиент "Best wishes" 58см×10м</t>
  </si>
  <si>
    <t>https://www.test.lavrpack.ru/local/templates/phoenix_v1/images_cache/thumbs/56f426717669f006247d47e00a4f8904.webp?v=1790033754</t>
  </si>
  <si>
    <t>b9a1727a-cc02-11ee-a0ad-00e01a6800eb#0c4d5d2e-cc03-11ee-a0ad-00e01a6800eb</t>
  </si>
  <si>
    <t>106110</t>
  </si>
  <si>
    <t>Оранжевый/тыквенный</t>
  </si>
  <si>
    <t>двусторонняя 58см×10м.(65мкр.)</t>
  </si>
  <si>
    <t>988000d2-cbe9-11ee-a0ad-00e01a6800eb#dec21e78-cbe9-11ee-a0ad-00e01a6800eb</t>
  </si>
  <si>
    <t>106104</t>
  </si>
  <si>
    <t>Красный/серый</t>
  </si>
  <si>
    <t>двусторонняя 60см×10м</t>
  </si>
  <si>
    <t>94dcf1fe-6a7e-11ef-ab51-1cfd08767542#a6c3514b-6a7e-11ef-ab51-1cfd08767542</t>
  </si>
  <si>
    <t>109309</t>
  </si>
  <si>
    <t>Дуэт тон. 60см×200гр</t>
  </si>
  <si>
    <t>https://www.test.lavrpack.ru/local/templates/phoenix_v1/images_cache/thumbs/329745df590788c56dd3e22614cba2b5.webp?v=1789992962</t>
  </si>
  <si>
    <t>94dcf1fe-6a7e-11ef-ab51-1cfd08767542#b4826047-6a7e-11ef-ab51-1cfd08767542</t>
  </si>
  <si>
    <t>https://www.test.lavrpack.ru/local/templates/phoenix_v1/images_cache/thumbs/b0738e656d462b6f4814a996c4f8a610.webp?v=1789992962</t>
  </si>
  <si>
    <t>94dcf1fe-6a7e-11ef-ab51-1cfd08767542#a0a28935-6a7e-11ef-ab51-1cfd08767542</t>
  </si>
  <si>
    <t>Россия, Зеленый чай</t>
  </si>
  <si>
    <t>https://www.test.lavrpack.ru/local/templates/phoenix_v1/images_cache/thumbs/d8034e5d04cb1375ee63720ec530871e.webp?v=1789992962</t>
  </si>
  <si>
    <t>94dcf1fe-6a7e-11ef-ab51-1cfd08767542#a6c3515b-6a7e-11ef-ab51-1cfd08767542</t>
  </si>
  <si>
    <t>https://www.test.lavrpack.ru/local/templates/phoenix_v1/images_cache/thumbs/a9fb73014892f4344181c1d662000ce8.webp?v=1789992962</t>
  </si>
  <si>
    <t>dde332f2-cb1a-11ee-a0ad-00e01a6800eb#ca8a215e-cb1b-11ee-a0ad-00e01a6800eb</t>
  </si>
  <si>
    <t>106092</t>
  </si>
  <si>
    <t>Оранжевый</t>
  </si>
  <si>
    <t>Однотонная 58см×10м</t>
  </si>
  <si>
    <t>https://www.test.lavrpack.ru/local/templates/phoenix_v1/images_cache/thumbs/75571946650714ef20509ba10dd8e874.webp?v=1789992962</t>
  </si>
  <si>
    <t>dde332f2-cb1a-11ee-a0ad-00e01a6800eb#0327be4c-cb1b-11ee-a0ad-00e01a6800eb</t>
  </si>
  <si>
    <t>Угольный</t>
  </si>
  <si>
    <t>https://www.test.lavrpack.ru/local/templates/phoenix_v1/images_cache/thumbs/64b59afff6a771df9f221d0d1cb03261.webp?v=1789992962</t>
  </si>
  <si>
    <t>b4879588-caff-11ee-a0ad-00e01a6800eb#c3f23f0f-caff-11ee-a0ad-00e01a6800eb</t>
  </si>
  <si>
    <t>106084</t>
  </si>
  <si>
    <t>Полоска 58см×10м</t>
  </si>
  <si>
    <t>https://www.test.lavrpack.ru/local/templates/phoenix_v1/images_cache/thumbs/a74c96a5af8d55276f652b5601cdb623.webp?v=1789992962</t>
  </si>
  <si>
    <t>b4879588-caff-11ee-a0ad-00e01a6800eb#2c5456d2-cb00-11ee-a0ad-00e01a6800eb</t>
  </si>
  <si>
    <t>0e3551cb-cafe-11ee-a0ad-00e01a6800eb#53550781-cafe-11ee-a0ad-00e01a6800eb</t>
  </si>
  <si>
    <t>106083</t>
  </si>
  <si>
    <t>Чайная роза/розовый/бежевый</t>
  </si>
  <si>
    <t>Радуга 58см×10м</t>
  </si>
  <si>
    <t>https://www.test.lavrpack.ru/local/templates/phoenix_v1/images_cache/thumbs/fde71cd6e9f4051bdc5877abc0db45a8.webp?v=1789992962</t>
  </si>
  <si>
    <t>0e3551cb-cafe-11ee-a0ad-00e01a6800eb#08c2e985-caff-11ee-a0ad-00e01a6800eb</t>
  </si>
  <si>
    <t>Белый/кремовый/бежевый</t>
  </si>
  <si>
    <t>https://www.test.lavrpack.ru/local/templates/phoenix_v1/images_cache/thumbs/8fd4ee7458f55eeb11c5bd1ad1f84819.webp?v=1789992962</t>
  </si>
  <si>
    <t>38631d3b-cafa-11ee-a0ad-00e01a6800eb#7457c60e-cafa-11ee-a0ad-00e01a6800eb</t>
  </si>
  <si>
    <t>106080</t>
  </si>
  <si>
    <t>Светло-голубой</t>
  </si>
  <si>
    <t>Узкая полоска 58см×10м</t>
  </si>
  <si>
    <t>https://www.test.lavrpack.ru/local/templates/phoenix_v1/images_cache/thumbs/c5e480a94ad1df34920203b7037fe59c.webp?v=1789992962</t>
  </si>
  <si>
    <t>6679d477-08ac-11f1-ab4d-22344d083d2c#cd3edbce-08ac-11f1-ab4d-22344d083d2c</t>
  </si>
  <si>
    <t>116961</t>
  </si>
  <si>
    <t>Пленка матовая "Просто пленка"</t>
  </si>
  <si>
    <t>(М), Серая сирень (1136)</t>
  </si>
  <si>
    <t>57см×10м</t>
  </si>
  <si>
    <t>https://www.test.lavrpack.ru/local/templates/phoenix_v1/images_cache/thumbs/5dbc5eaaa4ee5124d07c921be10ccb68.webp?v=1789992962</t>
  </si>
  <si>
    <t>6679d477-08ac-11f1-ab4d-22344d083d2c#d3464da8-08ac-11f1-ab4d-22344d083d2c</t>
  </si>
  <si>
    <t>(М), Нежная сирень (1142)</t>
  </si>
  <si>
    <t>https://www.test.lavrpack.ru/local/templates/phoenix_v1/images_cache/thumbs/1a6cde3b783339cbba9cf0984ac5ba86.webp?v=1789992962</t>
  </si>
  <si>
    <t>6679d477-08ac-11f1-ab4d-22344d083d2c#89b42fce-08ad-11f1-ab4d-22344d083d2c</t>
  </si>
  <si>
    <t>(М), Виридиан (1143)</t>
  </si>
  <si>
    <t>https://www.test.lavrpack.ru/local/templates/phoenix_v1/images_cache/thumbs/7de7bcc6a57df50babf0700578c1b1cd.webp?v=1789992962</t>
  </si>
  <si>
    <t>6679d477-08ac-11f1-ab4d-22344d083d2c#7eec7784-08ac-11f1-ab4d-22344d083d2c</t>
  </si>
  <si>
    <t>(М), Барби (1168)</t>
  </si>
  <si>
    <t>https://www.test.lavrpack.ru/local/templates/phoenix_v1/images_cache/thumbs/afee5fb2539a66cedb0eadb90a6630e7.webp?v=1789992962</t>
  </si>
  <si>
    <t>6679d477-08ac-11f1-ab4d-22344d083d2c#61c0b2d1-08ad-11f1-ab4d-22344d083d2c</t>
  </si>
  <si>
    <t>(М), Пыльная роза (1128)</t>
  </si>
  <si>
    <t>https://www.test.lavrpack.ru/local/templates/phoenix_v1/images_cache/thumbs/5d379b1226770ef74cac4de239619c90.webp?v=1789992962</t>
  </si>
  <si>
    <t>6679d477-08ac-11f1-ab4d-22344d083d2c#8fd98b17-08ad-11f1-ab4d-22344d083d2c</t>
  </si>
  <si>
    <t>(М), Синее небо (1124)</t>
  </si>
  <si>
    <t>https://www.test.lavrpack.ru/local/templates/phoenix_v1/images_cache/thumbs/28c22a4092ff636ceafc1facaffa20b0.webp?v=1789992962</t>
  </si>
  <si>
    <t>6679d477-08ac-11f1-ab4d-22344d083d2c#261dd3b1-08ad-11f1-ab4d-22344d083d2c</t>
  </si>
  <si>
    <t>(М), Нежно-жёлтая (1152)</t>
  </si>
  <si>
    <t>https://www.test.lavrpack.ru/local/templates/phoenix_v1/images_cache/thumbs/bd09096856eac63474df70460fb81b62.webp?v=1789992962</t>
  </si>
  <si>
    <t>6679d477-08ac-11f1-ab4d-22344d083d2c#738f3eb1-08ad-11f1-ab4d-22344d083d2c</t>
  </si>
  <si>
    <t>(М), Лилово-древесный (1150)</t>
  </si>
  <si>
    <t>https://www.test.lavrpack.ru/local/templates/phoenix_v1/images_cache/thumbs/d8110045f6db51a33b222623af48d4d6.webp?v=1789992962</t>
  </si>
  <si>
    <t>6679d477-08ac-11f1-ab4d-22344d083d2c#82e3410d-08ad-11f1-ab4d-22344d083d2c</t>
  </si>
  <si>
    <t>(М), Серо-голубой (1126)</t>
  </si>
  <si>
    <t>https://www.test.lavrpack.ru/local/templates/phoenix_v1/images_cache/thumbs/ef497391a102c7b205e63c916160657f.webp?v=1789992962</t>
  </si>
  <si>
    <t>6679d477-08ac-11f1-ab4d-22344d083d2c#ec0dab48-08ac-11f1-ab4d-22344d083d2c</t>
  </si>
  <si>
    <t>(М), Сирень (1160)</t>
  </si>
  <si>
    <t>https://www.test.lavrpack.ru/local/templates/phoenix_v1/images_cache/thumbs/ccb9e9087daa07f855cee89ff444d53e.webp?v=1789992962</t>
  </si>
  <si>
    <t>6679d477-08ac-11f1-ab4d-22344d083d2c#95eb853c-08ad-11f1-ab4d-22344d083d2c</t>
  </si>
  <si>
    <t>(М), Сизый мох (1139)</t>
  </si>
  <si>
    <t>https://www.test.lavrpack.ru/local/templates/phoenix_v1/images_cache/thumbs/07b3083d8b72f33116fd284c14eeab91.webp?v=1789992962</t>
  </si>
  <si>
    <t>6679d477-08ac-11f1-ab4d-22344d083d2c#93bb5252-08ac-11f1-ab4d-22344d083d2c</t>
  </si>
  <si>
    <t>(М), Нежно-розовый (1117)</t>
  </si>
  <si>
    <t>https://www.test.lavrpack.ru/local/templates/phoenix_v1/images_cache/thumbs/c787bdd51abdaf90665740c37781a4c3.webp?v=1789992962</t>
  </si>
  <si>
    <t>6679d477-08ac-11f1-ab4d-22344d083d2c#a70d304d-08ac-11f1-ab4d-22344d083d2c</t>
  </si>
  <si>
    <t>(М), Персиково-розовый-нюд (1135)</t>
  </si>
  <si>
    <t>https://www.test.lavrpack.ru/local/templates/phoenix_v1/images_cache/thumbs/a7cf28a473a147b55471465c97801d94.webp?v=1789992962</t>
  </si>
  <si>
    <t>6679d477-08ac-11f1-ab4d-22344d083d2c#c727afd2-08ac-11f1-ab4d-22344d083d2c</t>
  </si>
  <si>
    <t>(М), Фиолетовый (1113)</t>
  </si>
  <si>
    <t>https://www.test.lavrpack.ru/local/templates/phoenix_v1/images_cache/thumbs/d484112111c16c9d7529ad170042f99d.webp?v=1789992962</t>
  </si>
  <si>
    <t>6679d477-08ac-11f1-ab4d-22344d083d2c#dfeb0c33-08ac-11f1-ab4d-22344d083d2c</t>
  </si>
  <si>
    <t>(М), Нежная фиалка (1151)</t>
  </si>
  <si>
    <t>https://www.test.lavrpack.ru/local/templates/phoenix_v1/images_cache/thumbs/873857ce1193c79f39d94f18430af9c1.webp?v=1789992962</t>
  </si>
  <si>
    <t>6679d477-08ac-11f1-ab4d-22344d083d2c#38dfaefd-08ad-11f1-ab4d-22344d083d2c</t>
  </si>
  <si>
    <t>(М), Кремовый (1119)</t>
  </si>
  <si>
    <t>https://www.test.lavrpack.ru/local/templates/phoenix_v1/images_cache/thumbs/d188a49e65081e9d612c5c6982cb3899.webp?v=1789992962</t>
  </si>
  <si>
    <t>6679d477-08ac-11f1-ab4d-22344d083d2c#3f10dd71-08ad-11f1-ab4d-22344d083d2c</t>
  </si>
  <si>
    <t>(М), Ягодный (1114)</t>
  </si>
  <si>
    <t>https://www.test.lavrpack.ru/local/templates/phoenix_v1/images_cache/thumbs/ccaf38ded2db543b0cf7db1dd12ecd39.webp?v=1789992962</t>
  </si>
  <si>
    <t>6679d477-08ac-11f1-ab4d-22344d083d2c#a0c6445e-08ac-11f1-ab4d-22344d083d2c</t>
  </si>
  <si>
    <t>(М), Розовая малина (1118)</t>
  </si>
  <si>
    <t>https://www.test.lavrpack.ru/local/templates/phoenix_v1/images_cache/thumbs/c400b509a1b9809762016eb1afecd798.webp?v=1789992962</t>
  </si>
  <si>
    <t>6679d477-08ac-11f1-ab4d-22344d083d2c#b3408b03-08ac-11f1-ab4d-22344d083d2c</t>
  </si>
  <si>
    <t>(М), Розовый нюд (1141)</t>
  </si>
  <si>
    <t>https://www.test.lavrpack.ru/local/templates/phoenix_v1/images_cache/thumbs/6ff8eb3a794287a6c0647407fd33fecb.webp?v=1789992962</t>
  </si>
  <si>
    <t>6679d477-08ac-11f1-ab4d-22344d083d2c#7a4ab1b0-08ad-11f1-ab4d-22344d083d2c</t>
  </si>
  <si>
    <t>(М), Винный (1159)</t>
  </si>
  <si>
    <t>https://www.test.lavrpack.ru/local/templates/phoenix_v1/images_cache/thumbs/dfd41a2d3875cb2634d1a29b248a2187.webp?v=1789992962</t>
  </si>
  <si>
    <t>6679d477-08ac-11f1-ab4d-22344d083d2c#13337470-08ad-11f1-ab4d-22344d083d2c</t>
  </si>
  <si>
    <t>(М), Лаймовый (1120)</t>
  </si>
  <si>
    <t>https://www.test.lavrpack.ru/local/templates/phoenix_v1/images_cache/thumbs/9fb2208ae88a707463311817e0532f36.webp?v=1789992962</t>
  </si>
  <si>
    <t>6679d477-08ac-11f1-ab4d-22344d083d2c#1f2c344b-08ad-11f1-ab4d-22344d083d2c</t>
  </si>
  <si>
    <t>(М), Светлая фисташка (1164)</t>
  </si>
  <si>
    <t>https://www.test.lavrpack.ru/local/templates/phoenix_v1/images_cache/thumbs/c7bdec8bfbd5ee324e92831b6dabe70d.webp?v=1789992962</t>
  </si>
  <si>
    <t>6679d477-08ac-11f1-ab4d-22344d083d2c#6ba3436e-08ad-11f1-ab4d-22344d083d2c</t>
  </si>
  <si>
    <t>(М), Розовая пудра (1148)</t>
  </si>
  <si>
    <t>https://www.test.lavrpack.ru/local/templates/phoenix_v1/images_cache/thumbs/a4405f463eeb0c2ee752733be6f2a5ca.webp?v=1789992962</t>
  </si>
  <si>
    <t>6679d477-08ac-11f1-ab4d-22344d083d2c#ff992b42-08ac-11f1-ab4d-22344d083d2c</t>
  </si>
  <si>
    <t>(М), Белая матовая (1146)</t>
  </si>
  <si>
    <t>https://www.test.lavrpack.ru/local/templates/phoenix_v1/images_cache/thumbs/aa36b0f0998d19cc626b01054671e9fe.webp?v=1789992962</t>
  </si>
  <si>
    <t>6679d477-08ac-11f1-ab4d-22344d083d2c#4b2e766f-08ad-11f1-ab4d-22344d083d2c</t>
  </si>
  <si>
    <t>(М), Клубнично-красная (1162)</t>
  </si>
  <si>
    <t>https://www.test.lavrpack.ru/local/templates/phoenix_v1/images_cache/thumbs/824636d553df90144767db7a7c6950a0.webp?v=1789992962</t>
  </si>
  <si>
    <t>6679d477-08ac-11f1-ab4d-22344d083d2c#85ce43f8-08ac-11f1-ab4d-22344d083d2c</t>
  </si>
  <si>
    <t>(М), Лёгкий розовый (1169)</t>
  </si>
  <si>
    <t>https://www.test.lavrpack.ru/local/templates/phoenix_v1/images_cache/thumbs/feaa0bdd5add1bc95c7d0e16917b1a81.webp?v=1789992962</t>
  </si>
  <si>
    <t>6679d477-08ac-11f1-ab4d-22344d083d2c#0c154233-08ad-11f1-ab4d-22344d083d2c</t>
  </si>
  <si>
    <t>(М), Небесная лазурь (1112)</t>
  </si>
  <si>
    <t>https://www.test.lavrpack.ru/local/templates/phoenix_v1/images_cache/thumbs/a713fb88be048b556d445b268c8e30e8.webp?v=1789992962</t>
  </si>
  <si>
    <t>6679d477-08ac-11f1-ab4d-22344d083d2c#2cda80ce-08ad-11f1-ab4d-22344d083d2c</t>
  </si>
  <si>
    <t>(М), Ежевичный (1138)</t>
  </si>
  <si>
    <t>https://www.test.lavrpack.ru/local/templates/phoenix_v1/images_cache/thumbs/3f75f690798baca8e89ef887cca5f222.webp?v=1789992962</t>
  </si>
  <si>
    <t>6679d477-08ac-11f1-ab4d-22344d083d2c#51282a08-08ad-11f1-ab4d-22344d083d2c</t>
  </si>
  <si>
    <t>(М), Аквамарин (1132)</t>
  </si>
  <si>
    <t>https://www.test.lavrpack.ru/local/templates/phoenix_v1/images_cache/thumbs/39d70671bcc2da68b037177be5e1051b.webp?v=1789992962</t>
  </si>
  <si>
    <t>6679d477-08ac-11f1-ab4d-22344d083d2c#575272a5-08ad-11f1-ab4d-22344d083d2c</t>
  </si>
  <si>
    <t>(М), Бело-голубая (1163)</t>
  </si>
  <si>
    <t>https://www.test.lavrpack.ru/local/templates/phoenix_v1/images_cache/thumbs/a1b542d691c97676cc3c7d7f3edf149b.webp?v=1789992962</t>
  </si>
  <si>
    <t>c58dafa4-211c-11f1-ab4e-22344d083d2c#4b0b7b15-211f-11f1-ab4e-22344d083d2c</t>
  </si>
  <si>
    <t>117453</t>
  </si>
  <si>
    <t>Пленка матовая полупрозрачная "Просто пленка"</t>
  </si>
  <si>
    <t>(М), Графит (2243)</t>
  </si>
  <si>
    <t>https://www.test.lavrpack.ru/local/templates/phoenix_v1/images_cache/thumbs/eb231702fd776ebc82a294642bdf53c3.webp?v=1789992962</t>
  </si>
  <si>
    <t>c58dafa4-211c-11f1-ab4e-22344d083d2c#d9fda8ab-211c-11f1-ab4e-22344d083d2c</t>
  </si>
  <si>
    <t>(М), Розовый рассвет (2210)</t>
  </si>
  <si>
    <t>https://www.test.lavrpack.ru/local/templates/phoenix_v1/images_cache/thumbs/8200f67b1e0ea8e79ff22481e15cd634.webp?v=1789992962</t>
  </si>
  <si>
    <t>c58dafa4-211c-11f1-ab4e-22344d083d2c#390bd9e0-211d-11f1-ab4e-22344d083d2c</t>
  </si>
  <si>
    <t>(М), Нежно-розовый (2269)</t>
  </si>
  <si>
    <t>https://www.test.lavrpack.ru/local/templates/phoenix_v1/images_cache/thumbs/3358d1bf81483af206ce30faf62b074d.webp?v=1789992962</t>
  </si>
  <si>
    <t>c58dafa4-211c-11f1-ab4e-22344d083d2c#6aabd7bf-211d-11f1-ab4e-22344d083d2c</t>
  </si>
  <si>
    <t>(М), Мятная (2212)</t>
  </si>
  <si>
    <t>https://www.test.lavrpack.ru/local/templates/phoenix_v1/images_cache/thumbs/cb3cfc1a6c29c373d50081ad32d0dfee.webp?v=1789992962</t>
  </si>
  <si>
    <t>c58dafa4-211c-11f1-ab4e-22344d083d2c#2981ac8e-211e-11f1-ab4e-22344d083d2c</t>
  </si>
  <si>
    <t>(М), Сирень (2291)</t>
  </si>
  <si>
    <t>https://www.test.lavrpack.ru/local/templates/phoenix_v1/images_cache/thumbs/2d3355b7db5a1b6236dddf500cfd8b39.webp?v=1789992962</t>
  </si>
  <si>
    <t>c58dafa4-211c-11f1-ab4e-22344d083d2c#2782cab1-211f-11f1-ab4e-22344d083d2c</t>
  </si>
  <si>
    <t>(М), Алый (2237)</t>
  </si>
  <si>
    <t>https://www.test.lavrpack.ru/local/templates/phoenix_v1/images_cache/thumbs/9c7ee59c834e0e09218ed91f0c483f19.webp?v=1789992962</t>
  </si>
  <si>
    <t>c58dafa4-211c-11f1-ab4e-22344d083d2c#1a84dc38-211e-11f1-ab4e-22344d083d2c</t>
  </si>
  <si>
    <t>(М), Пурпурный (2231)</t>
  </si>
  <si>
    <t>https://www.test.lavrpack.ru/local/templates/phoenix_v1/images_cache/thumbs/eee8ef1c48e7d4a3a2bd78488f7f1568.webp?v=1789992962</t>
  </si>
  <si>
    <t>c58dafa4-211c-11f1-ab4e-22344d083d2c#0781b3e3-211f-11f1-ab4e-22344d083d2c</t>
  </si>
  <si>
    <t>(М), Лиловая дымка (2267)</t>
  </si>
  <si>
    <t>https://www.test.lavrpack.ru/local/templates/phoenix_v1/images_cache/thumbs/aeae6fdbff49f52fcd3b076d9acef779.webp?v=1789992962</t>
  </si>
  <si>
    <t>c58dafa4-211c-11f1-ab4e-22344d083d2c#381bf73a-211e-11f1-ab4e-22344d083d2c</t>
  </si>
  <si>
    <t>(М), Персиковый (2219)</t>
  </si>
  <si>
    <t>https://www.test.lavrpack.ru/local/templates/phoenix_v1/images_cache/thumbs/cfada4b7c5864a18c7d30e622b2c1a7d.webp?v=1789992962</t>
  </si>
  <si>
    <t>c58dafa4-211c-11f1-ab4e-22344d083d2c#eee2e26f-211c-11f1-ab4e-22344d083d2c</t>
  </si>
  <si>
    <t>(М), Тёплая роза (2217)</t>
  </si>
  <si>
    <t>https://www.test.lavrpack.ru/local/templates/phoenix_v1/images_cache/thumbs/2af39cd86af3de56d5d11887fa1044f9.webp?v=1789992962</t>
  </si>
  <si>
    <t>c58dafa4-211c-11f1-ab4e-22344d083d2c#a658fb6a-211e-11f1-ab4e-22344d083d2c</t>
  </si>
  <si>
    <t>(М), Коралловый (2233)</t>
  </si>
  <si>
    <t>https://www.test.lavrpack.ru/local/templates/phoenix_v1/images_cache/thumbs/a49067abfc18424cc441a43c1f7fb17f.webp?v=1789992962</t>
  </si>
  <si>
    <t>c58dafa4-211c-11f1-ab4e-22344d083d2c#e294dc7d-211e-11f1-ab4e-22344d083d2c</t>
  </si>
  <si>
    <t>(М), Пыльная роза (2248)</t>
  </si>
  <si>
    <t>https://www.test.lavrpack.ru/local/templates/phoenix_v1/images_cache/thumbs/da6a70c01e98f11a2dab959b88e5dc80.webp?v=1789992962</t>
  </si>
  <si>
    <t>c58dafa4-211c-11f1-ab4e-22344d083d2c#5d4db55c-211f-11f1-ab4e-22344d083d2c</t>
  </si>
  <si>
    <t>(М), Олива (2239)</t>
  </si>
  <si>
    <t>https://www.test.lavrpack.ru/local/templates/phoenix_v1/images_cache/thumbs/f51028787503c3cb32d23bb167a84124.webp?v=1789992962</t>
  </si>
  <si>
    <t>c58dafa4-211c-11f1-ab4e-22344d083d2c#79056f9c-211d-11f1-ab4e-22344d083d2c</t>
  </si>
  <si>
    <t>(М), Тиффани (2222)</t>
  </si>
  <si>
    <t>https://www.test.lavrpack.ru/local/templates/phoenix_v1/images_cache/thumbs/eae2da54b11220b5b19f1bd2fcaa3559.webp?v=1789992962</t>
  </si>
  <si>
    <t>c58dafa4-211c-11f1-ab4e-22344d083d2c#3c941ae7-211f-11f1-ab4e-22344d083d2c</t>
  </si>
  <si>
    <t>(М), Ярко-жёлтый (2216)</t>
  </si>
  <si>
    <t>https://www.test.lavrpack.ru/local/templates/phoenix_v1/images_cache/thumbs/0b79045db1592c53aac343a0c2a3735d.webp?v=1789992962</t>
  </si>
  <si>
    <t>c58dafa4-211c-11f1-ab4e-22344d083d2c#5a7ac55c-211d-11f1-ab4e-22344d083d2c</t>
  </si>
  <si>
    <t>(М), Дымка (2319)</t>
  </si>
  <si>
    <t>https://www.test.lavrpack.ru/local/templates/phoenix_v1/images_cache/thumbs/186842722d0c2984904ce7b2026769c9.webp?v=1789992962</t>
  </si>
  <si>
    <t>c58dafa4-211c-11f1-ab4e-22344d083d2c#06037e68-211d-11f1-ab4e-22344d083d2c</t>
  </si>
  <si>
    <t>(М), Барби (2268)</t>
  </si>
  <si>
    <t>https://www.test.lavrpack.ru/local/templates/phoenix_v1/images_cache/thumbs/5945e421ef82076edf2890fc5de7e991.webp?v=1789992962</t>
  </si>
  <si>
    <t>c58dafa4-211c-11f1-ab4e-22344d083d2c#f50677a3-211d-11f1-ab4e-22344d083d2c</t>
  </si>
  <si>
    <t>(М), Лавандовый (2213)</t>
  </si>
  <si>
    <t>https://www.test.lavrpack.ru/local/templates/phoenix_v1/images_cache/thumbs/06295c760f9e9c1deda96c2869080ed0.webp?v=1789992962</t>
  </si>
  <si>
    <t>c58dafa4-211c-11f1-ab4e-22344d083d2c#f86eae66-211e-11f1-ab4e-22344d083d2c</t>
  </si>
  <si>
    <t>(М), Малиновая дымка (2259)</t>
  </si>
  <si>
    <t>https://www.test.lavrpack.ru/local/templates/phoenix_v1/images_cache/thumbs/7a2328cbe13b14af618eb015c1cb1e10.webp?v=1789992962</t>
  </si>
  <si>
    <t>c58dafa4-211c-11f1-ab4e-22344d083d2c#4d95c1e4-211d-11f1-ab4e-22344d083d2c</t>
  </si>
  <si>
    <t>(М), Белая-полупрозрачная (2246)</t>
  </si>
  <si>
    <t>https://www.test.lavrpack.ru/local/templates/phoenix_v1/images_cache/thumbs/d69007602e65bad66512a4044b355b22.webp?v=1789992962</t>
  </si>
  <si>
    <t>f1131815-ca66-11ee-a0ad-00e01a6800eb#ff0eeeba-9680-11ef-ab37-22344d083d2c</t>
  </si>
  <si>
    <t>106065</t>
  </si>
  <si>
    <t>Упак. материал</t>
  </si>
  <si>
    <t>"Латексная пленка" 60см×5м</t>
  </si>
  <si>
    <t>https://www.test.lavrpack.ru/local/templates/phoenix_v1/images_cache/thumbs/bf49e390c8c0fc0d0c8d8cc9f29b9441.webp?v=1789992962</t>
  </si>
  <si>
    <t>f1131815-ca66-11ee-a0ad-00e01a6800eb#e8a28ffa-9680-11ef-ab37-22344d083d2c</t>
  </si>
  <si>
    <t>Зеленый</t>
  </si>
  <si>
    <t>https://www.test.lavrpack.ru/local/templates/phoenix_v1/images_cache/thumbs/9203865f366b0efcaca8cacec3264e68.webp?v=1789992962</t>
  </si>
  <si>
    <t>f1131815-ca66-11ee-a0ad-00e01a6800eb#47667f84-ca67-11ee-a0ad-00e01a6800eb</t>
  </si>
  <si>
    <t>https://www.test.lavrpack.ru/local/templates/phoenix_v1/images_cache/thumbs/b139c253c99adf16e66028fbdd53ccec.webp?v=1789992962</t>
  </si>
  <si>
    <t>f1131815-ca66-11ee-a0ad-00e01a6800eb#7bef16d3-b91f-11ef-ab3b-22344d083d2c</t>
  </si>
  <si>
    <t>https://www.test.lavrpack.ru/local/templates/phoenix_v1/images_cache/thumbs/cbfdc3fff1a5eda7e04b473a425c49b5.webp?v=1789992962</t>
  </si>
  <si>
    <t>f1131815-ca66-11ee-a0ad-00e01a6800eb#85b1ef1c-b91f-11ef-ab3b-22344d083d2c</t>
  </si>
  <si>
    <t>https://www.test.lavrpack.ru/local/templates/phoenix_v1/images_cache/thumbs/eb3ff1e03ca5894f2a4854937e7b5048.webp?v=1789992962</t>
  </si>
  <si>
    <t>f1131815-ca66-11ee-a0ad-00e01a6800eb#05c10c76-ca67-11ee-a0ad-00e01a6800eb</t>
  </si>
  <si>
    <t>https://www.test.lavrpack.ru/local/templates/phoenix_v1/images_cache/thumbs/09ae1e6fb1344021b00d1821dd9bcf75.webp?v=1789992962</t>
  </si>
  <si>
    <t>f1131815-ca66-11ee-a0ad-00e01a6800eb#3d6ebc5f-ca67-11ee-a0ad-00e01a6800eb</t>
  </si>
  <si>
    <t>Пастельный зеленый</t>
  </si>
  <si>
    <t>https://www.test.lavrpack.ru/local/templates/phoenix_v1/images_cache/thumbs/47338aa9a7a075c6c32ff3968c89d074.webp?v=1789992962</t>
  </si>
  <si>
    <t>f1131815-ca66-11ee-a0ad-00e01a6800eb#65c99084-ca67-11ee-a0ad-00e01a6800eb</t>
  </si>
  <si>
    <t>https://www.test.lavrpack.ru/local/templates/phoenix_v1/images_cache/thumbs/71de6e12fbe860c6d8500158d694a0df.webp?v=1789992962</t>
  </si>
  <si>
    <t>f1131815-ca66-11ee-a0ad-00e01a6800eb#db3f9c30-9680-11ef-ab37-22344d083d2c</t>
  </si>
  <si>
    <t>https://www.test.lavrpack.ru/local/templates/phoenix_v1/images_cache/thumbs/f9fc2adc3553c554ef16c7de229dbbb7.webp?v=1789992962</t>
  </si>
  <si>
    <t>f1131815-ca66-11ee-a0ad-00e01a6800eb#ef62bfd3-9680-11ef-ab37-22344d083d2c</t>
  </si>
  <si>
    <t>https://www.test.lavrpack.ru/local/templates/phoenix_v1/images_cache/thumbs/07bf53314d96d114646a88b55d6987bb.webp?v=1789992962</t>
  </si>
  <si>
    <t>Рулоны · Глянцевая — 142 поз.</t>
  </si>
  <si>
    <t>c689c5d4-ab81-11ed-ba70-00e01a6800eb#3c036f2a-ab82-11ed-ba70-00e01a6800eb</t>
  </si>
  <si>
    <t>78625</t>
  </si>
  <si>
    <t>Золотая пленка</t>
  </si>
  <si>
    <t>Темно-фиолетовый/Золотой</t>
  </si>
  <si>
    <t>https://www.test.lavrpack.ru/local/templates/phoenix_v1/images_cache/thumbs/b65d4b46d7800bca99695c69199f6043.webp?v=1790033754</t>
  </si>
  <si>
    <t>c689c5d4-ab81-11ed-ba70-00e01a6800eb#4eaa0e20-ab86-11ed-ba70-00e01a6800eb</t>
  </si>
  <si>
    <t>Белый/Золотой</t>
  </si>
  <si>
    <t>https://www.test.lavrpack.ru/local/templates/phoenix_v1/images_cache/thumbs/a3b304f9cae65f97cb52211a729cbf8d.webp?v=1790033754</t>
  </si>
  <si>
    <t>c689c5d4-ab81-11ed-ba70-00e01a6800eb#f3a6f105-ab85-11ed-ba70-00e01a6800eb</t>
  </si>
  <si>
    <t>Светло-серый/Золото</t>
  </si>
  <si>
    <t>https://www.test.lavrpack.ru/local/templates/phoenix_v1/images_cache/thumbs/46e7aad8fc6e0175bbc28e49cea7b22a.webp?v=1790033754</t>
  </si>
  <si>
    <t>628705b7-31fa-11ee-9127-00e01a6800eb#142189b1-31fc-11ee-9127-00e01a6800eb</t>
  </si>
  <si>
    <t>103466</t>
  </si>
  <si>
    <t>"Кайма" 60см×400гр</t>
  </si>
  <si>
    <t>https://www.test.lavrpack.ru/local/templates/phoenix_v1/images_cache/thumbs/d8455b53034314b0a659828c8909c2f4.webp?v=1790033754</t>
  </si>
  <si>
    <t>628705b7-31fa-11ee-9127-00e01a6800eb#e9945489-31fb-11ee-9127-00e01a6800eb</t>
  </si>
  <si>
    <t>https://www.test.lavrpack.ru/local/templates/phoenix_v1/images_cache/thumbs/c79a8956789830bd876cd632ee4dda30.webp?v=1790033754</t>
  </si>
  <si>
    <t>891c3b99-d6e3-11ee-a0ad-00e01a6800eb#ab990b71-d6e3-11ee-a0ad-00e01a6800eb</t>
  </si>
  <si>
    <t>106517</t>
  </si>
  <si>
    <t>Россия, Салат/белый</t>
  </si>
  <si>
    <t>"Гипсофила" 70см×200гр</t>
  </si>
  <si>
    <t>https://www.test.lavrpack.ru/local/templates/phoenix_v1/images_cache/thumbs/bf130db2e037fcc686d3049e768939f7.webp?v=1790033754</t>
  </si>
  <si>
    <t>891c3b99-d6e3-11ee-a0ad-00e01a6800eb#b58024f5-d6e3-11ee-a0ad-00e01a6800eb</t>
  </si>
  <si>
    <t>Россия, Розовый/белый</t>
  </si>
  <si>
    <t>https://www.test.lavrpack.ru/local/templates/phoenix_v1/images_cache/thumbs/b168416a30218615f088653940b1e952.webp?v=1790033754</t>
  </si>
  <si>
    <t>891c3b99-d6e3-11ee-a0ad-00e01a6800eb#be3b5116-d6e3-11ee-a0ad-00e01a6800eb</t>
  </si>
  <si>
    <t>Россия, Красный/белый</t>
  </si>
  <si>
    <t>https://www.test.lavrpack.ru/local/templates/phoenix_v1/images_cache/thumbs/4b98eb8f208a7ecb17f0dbe690491fbe.webp?v=1790033754</t>
  </si>
  <si>
    <t>891c3b99-d6e3-11ee-a0ad-00e01a6800eb#a040fcb2-d6e3-11ee-a0ad-00e01a6800eb</t>
  </si>
  <si>
    <t>Россия, Сирень/белый</t>
  </si>
  <si>
    <t>https://www.test.lavrpack.ru/local/templates/phoenix_v1/images_cache/thumbs/72ada4821612216a1fbe129ea92d132e.webp?v=1790033754</t>
  </si>
  <si>
    <t>891c3b99-d6e3-11ee-a0ad-00e01a6800eb#c8f18252-d6e3-11ee-a0ad-00e01a6800eb</t>
  </si>
  <si>
    <t>Россия, Белый/белый</t>
  </si>
  <si>
    <t>https://www.test.lavrpack.ru/local/templates/phoenix_v1/images_cache/thumbs/0dcbe9ae8d4974186b975ce6cca26c39.webp?v=1790033754</t>
  </si>
  <si>
    <t>93c6080a-d6e2-11ee-a0ad-00e01a6800eb#cbda1310-d6e2-11ee-a0ad-00e01a6800eb</t>
  </si>
  <si>
    <t>106516</t>
  </si>
  <si>
    <t>"Голограмма" 70см×200гр</t>
  </si>
  <si>
    <t>https://www.test.lavrpack.ru/local/templates/phoenix_v1/images_cache/thumbs/a229d2997c4b04f2685072e34075721e.webp?v=1790033754</t>
  </si>
  <si>
    <t>93c6080a-d6e2-11ee-a0ad-00e01a6800eb#bb6e54ec-d6e2-11ee-a0ad-00e01a6800eb</t>
  </si>
  <si>
    <t>https://www.test.lavrpack.ru/local/templates/phoenix_v1/images_cache/thumbs/f6a030cb67876ad3bbd70cacb311b721.webp?v=1790033754</t>
  </si>
  <si>
    <t>d19a7685-d6db-11ee-a0ad-00e01a6800eb#01b80024-d6df-11ee-a0ad-00e01a6800eb</t>
  </si>
  <si>
    <t>106515</t>
  </si>
  <si>
    <t>"Горох" 70см×200гр</t>
  </si>
  <si>
    <t>https://www.test.lavrpack.ru/local/templates/phoenix_v1/images_cache/thumbs/13691cf827f572e33a7b4678f2e49064.webp?v=1790033754</t>
  </si>
  <si>
    <t>d19a7685-d6db-11ee-a0ad-00e01a6800eb#4c5da74b-d6df-11ee-a0ad-00e01a6800eb</t>
  </si>
  <si>
    <t>https://www.test.lavrpack.ru/local/templates/phoenix_v1/images_cache/thumbs/be90c1db730fb838b2e4eb362aa5456d.webp?v=1790033754</t>
  </si>
  <si>
    <t>d19a7685-d6db-11ee-a0ad-00e01a6800eb#09f764cb-d6df-11ee-a0ad-00e01a6800eb</t>
  </si>
  <si>
    <t>https://www.test.lavrpack.ru/local/templates/phoenix_v1/images_cache/thumbs/6c87588c8d8df52eec2ef081d63d0213.webp?v=1790033754</t>
  </si>
  <si>
    <t>d19a7685-d6db-11ee-a0ad-00e01a6800eb#32c47af9-d6df-11ee-a0ad-00e01a6800eb</t>
  </si>
  <si>
    <t>https://www.test.lavrpack.ru/local/templates/phoenix_v1/images_cache/thumbs/a83abdce7a54f58e395945794a3d7df8.webp?v=1790033754</t>
  </si>
  <si>
    <t>eb2c00ad-d6da-11ee-a0ad-00e01a6800eb#40264095-d6db-11ee-a0ad-00e01a6800eb</t>
  </si>
  <si>
    <t>106514</t>
  </si>
  <si>
    <t>"Граффити" 70см×200гр</t>
  </si>
  <si>
    <t>https://www.test.lavrpack.ru/local/templates/phoenix_v1/images_cache/thumbs/a06102d9e9834b2ecf37a3faef73fca0.webp?v=1790033754</t>
  </si>
  <si>
    <t>eb2c00ad-d6da-11ee-a0ad-00e01a6800eb#2727cdb5-d6db-11ee-a0ad-00e01a6800eb</t>
  </si>
  <si>
    <t>https://www.test.lavrpack.ru/local/templates/phoenix_v1/images_cache/thumbs/791eaca67f04bb8050ce39cb70e5886e.webp?v=1790033754</t>
  </si>
  <si>
    <t>eb2c00ad-d6da-11ee-a0ad-00e01a6800eb#0e37a325-d6db-11ee-a0ad-00e01a6800eb</t>
  </si>
  <si>
    <t>https://www.test.lavrpack.ru/local/templates/phoenix_v1/images_cache/thumbs/7432af1df8bfb756d15f870a83cf9190.webp?v=1790033754</t>
  </si>
  <si>
    <t>eb2c00ad-d6da-11ee-a0ad-00e01a6800eb#1e54d3d0-d6db-11ee-a0ad-00e01a6800eb</t>
  </si>
  <si>
    <t>https://www.test.lavrpack.ru/local/templates/phoenix_v1/images_cache/thumbs/5ca95a5674305457cbe4db6ffd02f385.webp?v=1790033754</t>
  </si>
  <si>
    <t>42fa6773-d6c6-11ee-a0ad-00e01a6800eb#6aa77749-d6c6-11ee-a0ad-00e01a6800eb</t>
  </si>
  <si>
    <t>106505</t>
  </si>
  <si>
    <t>"Искра" 70см×200гр</t>
  </si>
  <si>
    <t>https://www.test.lavrpack.ru/local/templates/phoenix_v1/images_cache/thumbs/0c8893764aca9ef48bf93c93c5a940ed.webp?v=1790033754</t>
  </si>
  <si>
    <t>42fa6773-d6c6-11ee-a0ad-00e01a6800eb#9b0fb2f3-d6c6-11ee-a0ad-00e01a6800eb</t>
  </si>
  <si>
    <t>Россия, Золото/белый</t>
  </si>
  <si>
    <t>https://www.test.lavrpack.ru/local/templates/phoenix_v1/images_cache/thumbs/c31e2333b95ebda00c1c0693b01ad712.webp?v=1790033754</t>
  </si>
  <si>
    <t>42fa6773-d6c6-11ee-a0ad-00e01a6800eb#53dd2a52-d6c6-11ee-a0ad-00e01a6800eb</t>
  </si>
  <si>
    <t>Россия, Ярко-розовый/белый</t>
  </si>
  <si>
    <t>https://www.test.lavrpack.ru/local/templates/phoenix_v1/images_cache/thumbs/673d3ce2f282db85737a005e3b7c205a.webp?v=1790033754</t>
  </si>
  <si>
    <t>42fa6773-d6c6-11ee-a0ad-00e01a6800eb#926eb5e6-d6c6-11ee-a0ad-00e01a6800eb</t>
  </si>
  <si>
    <t>https://www.test.lavrpack.ru/local/templates/phoenix_v1/images_cache/thumbs/75f37b3cd6020396651e4e835a6a060e.webp?v=1790033754</t>
  </si>
  <si>
    <t>42fa6773-d6c6-11ee-a0ad-00e01a6800eb#78fe00f8-d6c6-11ee-a0ad-00e01a6800eb</t>
  </si>
  <si>
    <t>https://www.test.lavrpack.ru/local/templates/phoenix_v1/images_cache/thumbs/454aae53ed4ca30ebe8b0c0f243ecc56.webp?v=1790033754</t>
  </si>
  <si>
    <t>42fa6773-d6c6-11ee-a0ad-00e01a6800eb#7dcf87be-d6c7-11ee-a0ad-00e01a6800eb</t>
  </si>
  <si>
    <t>Россия, Желтый/белый</t>
  </si>
  <si>
    <t>https://www.test.lavrpack.ru/local/templates/phoenix_v1/images_cache/thumbs/e3f7617d74a6664418df007ed90742eb.webp?v=1790033754</t>
  </si>
  <si>
    <t>56c0f84f-d6c5-11ee-a0ad-00e01a6800eb#a2e83e54-d6c5-11ee-a0ad-00e01a6800eb</t>
  </si>
  <si>
    <t>106504</t>
  </si>
  <si>
    <t>"Конфетти Вернисаж" 70см×200гр</t>
  </si>
  <si>
    <t>https://www.test.lavrpack.ru/local/templates/phoenix_v1/images_cache/thumbs/7efe80d6b54c00fcfa46b96814f5379d.webp?v=1790033754</t>
  </si>
  <si>
    <t>56c0f84f-d6c5-11ee-a0ad-00e01a6800eb#95dc93b3-d6c5-11ee-a0ad-00e01a6800eb</t>
  </si>
  <si>
    <t>https://www.test.lavrpack.ru/local/templates/phoenix_v1/images_cache/thumbs/9e189ff484e117cff6a7b58c55506f21.webp?v=1790033754</t>
  </si>
  <si>
    <t>56c0f84f-d6c5-11ee-a0ad-00e01a6800eb#8c016111-d6c5-11ee-a0ad-00e01a6800eb</t>
  </si>
  <si>
    <t>https://www.test.lavrpack.ru/local/templates/phoenix_v1/images_cache/thumbs/9f9fb9b6b6f1b3ffe4cd50c23cd7a061.webp?v=1790033754</t>
  </si>
  <si>
    <t>2d5a8e1c-d6c3-11ee-a0ad-00e01a6800eb#850e4134-d6c3-11ee-a0ad-00e01a6800eb</t>
  </si>
  <si>
    <t>106502</t>
  </si>
  <si>
    <t>Россия, Красный/салат</t>
  </si>
  <si>
    <t>"Маргаритки Вернисаж" 70см×200гр</t>
  </si>
  <si>
    <t>https://www.test.lavrpack.ru/local/templates/phoenix_v1/images_cache/thumbs/fc83141369ba90400372f675a9a6c3b6.webp?v=1790033754</t>
  </si>
  <si>
    <t>2d5a8e1c-d6c3-11ee-a0ad-00e01a6800eb#ba216fd0-d6c3-11ee-a0ad-00e01a6800eb</t>
  </si>
  <si>
    <t>Россия, Белый/розовый</t>
  </si>
  <si>
    <t>https://www.test.lavrpack.ru/local/templates/phoenix_v1/images_cache/thumbs/95b48901dfbd6330cc5c9fabd1d7db1e.webp?v=1790033754</t>
  </si>
  <si>
    <t>2d5a8e1c-d6c3-11ee-a0ad-00e01a6800eb#684e2266-d6c3-11ee-a0ad-00e01a6800eb</t>
  </si>
  <si>
    <t>Россия, Розовый/сирень</t>
  </si>
  <si>
    <t>https://www.test.lavrpack.ru/local/templates/phoenix_v1/images_cache/thumbs/7cc6d9ba46dfcaee9a43b081c83521f8.webp?v=1790033754</t>
  </si>
  <si>
    <t>0d2243c0-95f9-11ec-b742-0cb6d2d05b37</t>
  </si>
  <si>
    <t>69916</t>
  </si>
  <si>
    <t>Россия</t>
  </si>
  <si>
    <t>"Мечта" 70см×200гр. белый</t>
  </si>
  <si>
    <t>https://www.test.lavrpack.ru/local/templates/phoenix_v1/images_cache/thumbs/39e4cfff62810d0f8acbaea15b420e61.webp?v=1789992962</t>
  </si>
  <si>
    <t>5659233c-d6c2-11ee-a0ad-00e01a6800eb#a3eefd2b-d6c2-11ee-a0ad-00e01a6800eb</t>
  </si>
  <si>
    <t>106501</t>
  </si>
  <si>
    <t>"Мошка" 70см×200гр</t>
  </si>
  <si>
    <t>https://www.test.lavrpack.ru/local/templates/phoenix_v1/images_cache/thumbs/b201a8e9f062494bd69e9bd90a50958c.webp?v=1790033754</t>
  </si>
  <si>
    <t>5659233c-d6c2-11ee-a0ad-00e01a6800eb#9a91f389-d6c2-11ee-a0ad-00e01a6800eb</t>
  </si>
  <si>
    <t>https://www.test.lavrpack.ru/local/templates/phoenix_v1/images_cache/thumbs/94237f37c7ff236a6d18670cdd87f9a7.webp?v=1790033754</t>
  </si>
  <si>
    <t>5659233c-d6c2-11ee-a0ad-00e01a6800eb#64ce9f06-d6c2-11ee-a0ad-00e01a6800eb</t>
  </si>
  <si>
    <t>https://www.test.lavrpack.ru/local/templates/phoenix_v1/images_cache/thumbs/48c2a57dda8981b19bde7f7063791474.webp?v=1790033754</t>
  </si>
  <si>
    <t>5659233c-d6c2-11ee-a0ad-00e01a6800eb#94786cc3-d6c2-11ee-a0ad-00e01a6800eb</t>
  </si>
  <si>
    <t>https://www.test.lavrpack.ru/local/templates/phoenix_v1/images_cache/thumbs/0c849261e7e62501f5109bac8f987c67.webp?v=1790033754</t>
  </si>
  <si>
    <t>5659233c-d6c2-11ee-a0ad-00e01a6800eb#6c3c8a90-d6c2-11ee-a0ad-00e01a6800eb</t>
  </si>
  <si>
    <t>https://www.test.lavrpack.ru/local/templates/phoenix_v1/images_cache/thumbs/1e31c55520db56058d1b223a0d3b9665.webp?v=1790033754</t>
  </si>
  <si>
    <t>5659233c-d6c2-11ee-a0ad-00e01a6800eb#75a57b17-d6c2-11ee-a0ad-00e01a6800eb</t>
  </si>
  <si>
    <t>https://www.test.lavrpack.ru/local/templates/phoenix_v1/images_cache/thumbs/da5d89b4717c4be6d56aa57821f6d640.webp?v=1790033754</t>
  </si>
  <si>
    <t>5659233c-d6c2-11ee-a0ad-00e01a6800eb#7ffc7547-d6c2-11ee-a0ad-00e01a6800eb</t>
  </si>
  <si>
    <t>https://www.test.lavrpack.ru/local/templates/phoenix_v1/images_cache/thumbs/a9a87c4bbf3af1ab276ae7755b7bfce9.webp?v=1790033754</t>
  </si>
  <si>
    <t>22cf4597-d632-11ee-a0ad-00e01a6800eb#511d8a6c-d632-11ee-a0ad-00e01a6800eb</t>
  </si>
  <si>
    <t>106496</t>
  </si>
  <si>
    <t>"Поэмы" 70см×200гр</t>
  </si>
  <si>
    <t>https://www.test.lavrpack.ru/local/templates/phoenix_v1/images_cache/thumbs/ebcc83ee2ea11e6c6858595a7c127901.webp?v=1790033754</t>
  </si>
  <si>
    <t>22cf4597-d632-11ee-a0ad-00e01a6800eb#601d1615-d632-11ee-a0ad-00e01a6800eb</t>
  </si>
  <si>
    <t>https://www.test.lavrpack.ru/local/templates/phoenix_v1/images_cache/thumbs/21efa428c875c5d6217b60449f41ce9c.webp?v=1790033754</t>
  </si>
  <si>
    <t>22cf4597-d632-11ee-a0ad-00e01a6800eb#3ee662b3-d632-11ee-a0ad-00e01a6800eb</t>
  </si>
  <si>
    <t>https://www.test.lavrpack.ru/local/templates/phoenix_v1/images_cache/thumbs/ff8d5ae574a07d970e060c5c58aeb994.webp?v=1790033754</t>
  </si>
  <si>
    <t>22cf4597-d632-11ee-a0ad-00e01a6800eb#4a433442-d632-11ee-a0ad-00e01a6800eb</t>
  </si>
  <si>
    <t>https://www.test.lavrpack.ru/local/templates/phoenix_v1/images_cache/thumbs/d41b3f27b723b2cd61aa768b5e6a7aef.webp?v=1790033754</t>
  </si>
  <si>
    <t>22cf4597-d632-11ee-a0ad-00e01a6800eb#597be0f1-d632-11ee-a0ad-00e01a6800eb</t>
  </si>
  <si>
    <t>https://www.test.lavrpack.ru/local/templates/phoenix_v1/images_cache/thumbs/cc4d226697cd16a8b514462254a3a3d9.webp?v=1790033754</t>
  </si>
  <si>
    <t>22cf4597-d632-11ee-a0ad-00e01a6800eb#511d8a7c-d632-11ee-a0ad-00e01a6800eb</t>
  </si>
  <si>
    <t>https://www.test.lavrpack.ru/local/templates/phoenix_v1/images_cache/thumbs/7b03e234ad7f55629d63e28d81a84fe1.webp?v=1790033754</t>
  </si>
  <si>
    <t>22cf4597-d632-11ee-a0ad-00e01a6800eb#31687605-d632-11ee-a0ad-00e01a6800eb</t>
  </si>
  <si>
    <t>https://www.test.lavrpack.ru/local/templates/phoenix_v1/images_cache/thumbs/d99c1d7f67a462e2a9c31ac0583c7bdd.webp?v=1790033754</t>
  </si>
  <si>
    <t>a6a0de34-d630-11ee-a0ad-00e01a6800eb#071e05d0-d631-11ee-a0ad-00e01a6800eb</t>
  </si>
  <si>
    <t>106495</t>
  </si>
  <si>
    <t>"Пузыри" 70см×200гр</t>
  </si>
  <si>
    <t>https://www.test.lavrpack.ru/local/templates/phoenix_v1/images_cache/thumbs/bc6705078d04b6db6fa1083a9d556c31.webp?v=1790033754</t>
  </si>
  <si>
    <t>a6a0de34-d630-11ee-a0ad-00e01a6800eb#ccf0039d-d630-11ee-a0ad-00e01a6800eb</t>
  </si>
  <si>
    <t>https://www.test.lavrpack.ru/local/templates/phoenix_v1/images_cache/thumbs/892fb196e702424edea9bb4b9587d0a3.webp?v=1790033754</t>
  </si>
  <si>
    <t>a6a0de34-d630-11ee-a0ad-00e01a6800eb#e7a2127d-d630-11ee-a0ad-00e01a6800eb</t>
  </si>
  <si>
    <t>https://www.test.lavrpack.ru/local/templates/phoenix_v1/images_cache/thumbs/a5f71648a5a69351aacdc52c181a9258.webp?v=1790033754</t>
  </si>
  <si>
    <t>a6a0de34-d630-11ee-a0ad-00e01a6800eb#eda88e1f-d630-11ee-a0ad-00e01a6800eb</t>
  </si>
  <si>
    <t>https://www.test.lavrpack.ru/local/templates/phoenix_v1/images_cache/thumbs/db8cde0fefb0f34da8d28d06e78e8dbf.webp?v=1790033754</t>
  </si>
  <si>
    <t>a6a0de34-d630-11ee-a0ad-00e01a6800eb#0e2f1bfe-d631-11ee-a0ad-00e01a6800eb</t>
  </si>
  <si>
    <t>https://www.test.lavrpack.ru/local/templates/phoenix_v1/images_cache/thumbs/c4642b2fca1329238f776649b7e6e0f3.webp?v=1790033754</t>
  </si>
  <si>
    <t>dd5ca93a-d62d-11ee-a0ad-00e01a6800eb#ffaea05f-d62d-11ee-a0ad-00e01a6800eb</t>
  </si>
  <si>
    <t>106493</t>
  </si>
  <si>
    <t>"Пушкин" 70см×200гр</t>
  </si>
  <si>
    <t>https://www.test.lavrpack.ru/local/templates/phoenix_v1/images_cache/thumbs/00705a6e3ec62701f334bef0ba375c1b.webp?v=1790033754</t>
  </si>
  <si>
    <t>dd5ca93a-d62d-11ee-a0ad-00e01a6800eb#19a703ba-d62e-11ee-a0ad-00e01a6800eb</t>
  </si>
  <si>
    <t>https://www.test.lavrpack.ru/local/templates/phoenix_v1/images_cache/thumbs/25ae8bee54aa9f4ebb4fb5fc116d8c9e.webp?v=1790033754</t>
  </si>
  <si>
    <t>dd5ca93a-d62d-11ee-a0ad-00e01a6800eb#48274565-d62e-11ee-a0ad-00e01a6800eb</t>
  </si>
  <si>
    <t>https://www.test.lavrpack.ru/local/templates/phoenix_v1/images_cache/thumbs/9e3f7ced37da36006d7f534a2610bf54.webp?v=1790033754</t>
  </si>
  <si>
    <t>dd5ca93a-d62d-11ee-a0ad-00e01a6800eb#0c375f3f-d62e-11ee-a0ad-00e01a6800eb</t>
  </si>
  <si>
    <t>https://www.test.lavrpack.ru/local/templates/phoenix_v1/images_cache/thumbs/b56fd4d5d6631a3b9316279f04e74672.webp?v=1790033754</t>
  </si>
  <si>
    <t>dd5ca93a-d62d-11ee-a0ad-00e01a6800eb#12b7412d-d62e-11ee-a0ad-00e01a6800eb</t>
  </si>
  <si>
    <t>https://www.test.lavrpack.ru/local/templates/phoenix_v1/images_cache/thumbs/b0e967f5b5290a10447dda0e182ac33d.webp?v=1790033754</t>
  </si>
  <si>
    <t>dd5ca93a-d62d-11ee-a0ad-00e01a6800eb#20b5b82a-d62e-11ee-a0ad-00e01a6800eb</t>
  </si>
  <si>
    <t>https://www.test.lavrpack.ru/local/templates/phoenix_v1/images_cache/thumbs/9febfe067f8aa0b8431764b615e437f4.webp?v=1790033754</t>
  </si>
  <si>
    <t>dd5ca93a-d62d-11ee-a0ad-00e01a6800eb#27784091-d62e-11ee-a0ad-00e01a6800eb</t>
  </si>
  <si>
    <t>https://www.test.lavrpack.ru/local/templates/phoenix_v1/images_cache/thumbs/0362d7e580e295f776fea0cb3c45d34c.webp?v=1790033754</t>
  </si>
  <si>
    <t>553bcea1-d623-11ee-a0ad-00e01a6800eb#7caafaaf-d623-11ee-a0ad-00e01a6800eb</t>
  </si>
  <si>
    <t>106491</t>
  </si>
  <si>
    <t>"Сердечки" 70см×200гр</t>
  </si>
  <si>
    <t>https://www.test.lavrpack.ru/local/templates/phoenix_v1/images_cache/thumbs/9e73d57d145aeba19d753aa4feec5aa1.webp?v=1790033754</t>
  </si>
  <si>
    <t>553bcea1-d623-11ee-a0ad-00e01a6800eb#99fc4def-d623-11ee-a0ad-00e01a6800eb</t>
  </si>
  <si>
    <t>https://www.test.lavrpack.ru/local/templates/phoenix_v1/images_cache/thumbs/709a0bc84d6d80f955b53236e36d2cdf.webp?v=1789992962</t>
  </si>
  <si>
    <t>a62a1a21-d622-11ee-a0ad-00e01a6800eb#e27df9ec-d622-11ee-a0ad-00e01a6800eb</t>
  </si>
  <si>
    <t>106490</t>
  </si>
  <si>
    <t>"Серпантин" 70см×200гр</t>
  </si>
  <si>
    <t>https://www.test.lavrpack.ru/local/templates/phoenix_v1/images_cache/thumbs/5c710cb8aafcffa3851df69222617cd3.webp?v=1790033754</t>
  </si>
  <si>
    <t>a62a1a21-d622-11ee-a0ad-00e01a6800eb#ce8c12d3-d622-11ee-a0ad-00e01a6800eb</t>
  </si>
  <si>
    <t>https://www.test.lavrpack.ru/local/templates/phoenix_v1/images_cache/thumbs/d6b2a684d057e0b9afc2b59b0583439c.webp?v=1790033754</t>
  </si>
  <si>
    <t>a62a1a21-d622-11ee-a0ad-00e01a6800eb#d5392e6b-d622-11ee-a0ad-00e01a6800eb</t>
  </si>
  <si>
    <t>https://www.test.lavrpack.ru/local/templates/phoenix_v1/images_cache/thumbs/0e905f5948930e63c36a2a0b4361132e.webp?v=1790033754</t>
  </si>
  <si>
    <t>d429536e-d621-11ee-a0ad-00e01a6800eb#008adb6a-d622-11ee-a0ad-00e01a6800eb</t>
  </si>
  <si>
    <t>106489</t>
  </si>
  <si>
    <t>"Снег" 70см×200гр</t>
  </si>
  <si>
    <t>https://www.test.lavrpack.ru/local/templates/phoenix_v1/images_cache/thumbs/86bbd5f57b7bcd62f1def2b3af981523.webp?v=1790033754</t>
  </si>
  <si>
    <t>d429536e-d621-11ee-a0ad-00e01a6800eb#f8ed546a-d621-11ee-a0ad-00e01a6800eb</t>
  </si>
  <si>
    <t>https://www.test.lavrpack.ru/local/templates/phoenix_v1/images_cache/thumbs/1f6f33fcafcfbbcb2678658b55c8121d.webp?v=1790033754</t>
  </si>
  <si>
    <t>d429536e-d621-11ee-a0ad-00e01a6800eb#ef206a09-d621-11ee-a0ad-00e01a6800eb</t>
  </si>
  <si>
    <t>https://www.test.lavrpack.ru/local/templates/phoenix_v1/images_cache/thumbs/c984a99cf73cefcdad0e6d22b26d3ae7.webp?v=1790033754</t>
  </si>
  <si>
    <t>d429536e-d621-11ee-a0ad-00e01a6800eb#008adb7a-d622-11ee-a0ad-00e01a6800eb</t>
  </si>
  <si>
    <t>https://www.test.lavrpack.ru/local/templates/phoenix_v1/images_cache/thumbs/38320ae9281dd5812f4f13a2c15923b2.webp?v=1790033754</t>
  </si>
  <si>
    <t>da74cf79-d618-11ee-a0ad-00e01a6800eb#d95a665a-d619-11ee-a0ad-00e01a6800eb</t>
  </si>
  <si>
    <t>106483</t>
  </si>
  <si>
    <t>"Флай" 70см×200гр</t>
  </si>
  <si>
    <t>https://www.test.lavrpack.ru/local/templates/phoenix_v1/images_cache/thumbs/6c022766729d0a6bdb72071050f56da6.webp?v=1790033754</t>
  </si>
  <si>
    <t>da74cf79-d618-11ee-a0ad-00e01a6800eb#5fd5466d-d619-11ee-a0ad-00e01a6800eb</t>
  </si>
  <si>
    <t>https://www.test.lavrpack.ru/local/templates/phoenix_v1/images_cache/thumbs/70e611cd364c757eaf94b679f946bbdd.webp?v=1790033754</t>
  </si>
  <si>
    <t>da74cf79-d618-11ee-a0ad-00e01a6800eb#ba6ae42a-d619-11ee-a0ad-00e01a6800eb</t>
  </si>
  <si>
    <t>https://www.test.lavrpack.ru/local/templates/phoenix_v1/images_cache/thumbs/2503c45a3d5ca59ec24440874b56bfd2.webp?v=1790033754</t>
  </si>
  <si>
    <t>0ea8300d-1739-11ee-8f7e-00e01a6800eb#cd021ae1-173a-11ee-8f7e-00e01a6800eb</t>
  </si>
  <si>
    <t>103221</t>
  </si>
  <si>
    <t>Пленка "Блестящая грань"</t>
  </si>
  <si>
    <t>https://www.test.lavrpack.ru/local/templates/phoenix_v1/images_cache/thumbs/e60a8b420fb21acca7c930214822d2bd.webp?v=1790033754</t>
  </si>
  <si>
    <t>c02fe162-0939-11ef-9f05-00e01a6800eb#153d2c39-093a-11ef-9f05-00e01a6800eb</t>
  </si>
  <si>
    <t>107495</t>
  </si>
  <si>
    <t>Пленка "Зеркальная"</t>
  </si>
  <si>
    <t>56см×10ярд,</t>
  </si>
  <si>
    <t>https://www.test.lavrpack.ru/local/templates/phoenix_v1/images_cache/thumbs/2b20207019ed6b6561a5dedf87922a91.webp?v=1790033754</t>
  </si>
  <si>
    <t>c02fe162-0939-11ef-9f05-00e01a6800eb#50f652c9-093a-11ef-9f05-00e01a6800eb</t>
  </si>
  <si>
    <t>Красное вино</t>
  </si>
  <si>
    <t>https://www.test.lavrpack.ru/local/templates/phoenix_v1/images_cache/thumbs/99fc4bd6b9d7fff1ff84a24d52e4507f.webp?v=1790033754</t>
  </si>
  <si>
    <t>c02fe162-0939-11ef-9f05-00e01a6800eb#3dcec015-093a-11ef-9f05-00e01a6800eb</t>
  </si>
  <si>
    <t>Изумруд</t>
  </si>
  <si>
    <t>https://www.test.lavrpack.ru/local/templates/phoenix_v1/images_cache/thumbs/5010263740344a73607aaac76befb7fe.webp?v=1790033754</t>
  </si>
  <si>
    <t>c02fe162-0939-11ef-9f05-00e01a6800eb#f02f6095-0939-11ef-9f05-00e01a6800eb</t>
  </si>
  <si>
    <t>https://www.test.lavrpack.ru/local/templates/phoenix_v1/images_cache/thumbs/3ba6a439a537943f911577a7045db5f3.webp?v=1790033754</t>
  </si>
  <si>
    <t>c02fe162-0939-11ef-9f05-00e01a6800eb#26f3c9a3-093a-11ef-9f05-00e01a6800eb</t>
  </si>
  <si>
    <t>https://www.test.lavrpack.ru/local/templates/phoenix_v1/images_cache/thumbs/360296a2e4451f7791c8fdbd7309e047.webp?v=1790033754</t>
  </si>
  <si>
    <t>c02fe162-0939-11ef-9f05-00e01a6800eb#30f2b0ea-093a-11ef-9f05-00e01a6800eb</t>
  </si>
  <si>
    <t>https://www.test.lavrpack.ru/local/templates/phoenix_v1/images_cache/thumbs/6b94cea8a4fd7171483358155683bdac.webp?v=1790033754</t>
  </si>
  <si>
    <t>c02fe162-0939-11ef-9f05-00e01a6800eb#d2f83d0b-0939-11ef-9f05-00e01a6800eb</t>
  </si>
  <si>
    <t>Серебро</t>
  </si>
  <si>
    <t>https://www.test.lavrpack.ru/local/templates/phoenix_v1/images_cache/thumbs/2d931b90032452edec1396fa21ec4f5e.webp?v=1790033754</t>
  </si>
  <si>
    <t>c02fe162-0939-11ef-9f05-00e01a6800eb#daf299a4-0939-11ef-9f05-00e01a6800eb</t>
  </si>
  <si>
    <t>https://www.test.lavrpack.ru/local/templates/phoenix_v1/images_cache/thumbs/b7fbfa34376396f39c637b72c60c0039.webp?v=1790033754</t>
  </si>
  <si>
    <t>c02fe162-0939-11ef-9f05-00e01a6800eb#1e637647-093a-11ef-9f05-00e01a6800eb</t>
  </si>
  <si>
    <t>https://www.test.lavrpack.ru/local/templates/phoenix_v1/images_cache/thumbs/a69e6f6e0e3fd1b3502651652439717a.webp?v=1790033754</t>
  </si>
  <si>
    <t>068847ea-d198-11ef-ab3c-22344d083d2c#675b26c9-d198-11ef-ab3c-22344d083d2c</t>
  </si>
  <si>
    <t>110951</t>
  </si>
  <si>
    <t>Пленка "Кристалл"</t>
  </si>
  <si>
    <t>Лазурный</t>
  </si>
  <si>
    <t>57см×10м,</t>
  </si>
  <si>
    <t>https://www.test.lavrpack.ru/local/templates/phoenix_v1/images_cache/thumbs/1c8741c00f52d5912ed62e3f20e07180.webp?v=1790033754</t>
  </si>
  <si>
    <t>068847ea-d198-11ef-ab3c-22344d083d2c#39162cb7-d198-11ef-ab3c-22344d083d2c</t>
  </si>
  <si>
    <t>https://www.test.lavrpack.ru/local/templates/phoenix_v1/images_cache/thumbs/74625832e8d59ddc2cf6080eab8fd370.webp?v=1790033754</t>
  </si>
  <si>
    <t>068847ea-d198-11ef-ab3c-22344d083d2c#460ad6a5-d198-11ef-ab3c-22344d083d2c</t>
  </si>
  <si>
    <t>Изумрудный</t>
  </si>
  <si>
    <t>https://www.test.lavrpack.ru/local/templates/phoenix_v1/images_cache/thumbs/b1684176e72f45f9c02dc265f3fa3085.webp?v=1790033754</t>
  </si>
  <si>
    <t>068847ea-d198-11ef-ab3c-22344d083d2c#60cbb7f4-d198-11ef-ab3c-22344d083d2c</t>
  </si>
  <si>
    <t>Темно-зеленый</t>
  </si>
  <si>
    <t>https://www.test.lavrpack.ru/local/templates/phoenix_v1/images_cache/thumbs/63c55bd94373cd900c75d5ebd0821748.webp?v=1790033754</t>
  </si>
  <si>
    <t>068847ea-d198-11ef-ab3c-22344d083d2c#3f796939-d198-11ef-ab3c-22344d083d2c</t>
  </si>
  <si>
    <t>https://www.test.lavrpack.ru/local/templates/phoenix_v1/images_cache/thumbs/dfc878855ec76d8f5b6a477cfa53ae5e.webp?v=1790033754</t>
  </si>
  <si>
    <t>068847ea-d198-11ef-ab3c-22344d083d2c#7686173e-d198-11ef-ab3c-22344d083d2c</t>
  </si>
  <si>
    <t>Мандарин</t>
  </si>
  <si>
    <t>https://www.test.lavrpack.ru/local/templates/phoenix_v1/images_cache/thumbs/f1f05ceae36da7155496c12c46a8d6c2.webp?v=1790033754</t>
  </si>
  <si>
    <t>068847ea-d198-11ef-ab3c-22344d083d2c#534c28af-d198-11ef-ab3c-22344d083d2c</t>
  </si>
  <si>
    <t>https://www.test.lavrpack.ru/local/templates/phoenix_v1/images_cache/thumbs/ddc83510bb241a7736af964834472681.webp?v=1790033754</t>
  </si>
  <si>
    <t>068847ea-d198-11ef-ab3c-22344d083d2c#6fe77eb3-d198-11ef-ab3c-22344d083d2c</t>
  </si>
  <si>
    <t>https://www.test.lavrpack.ru/local/templates/phoenix_v1/images_cache/thumbs/35820691a80b0172d5635f2964892121.webp?v=1790033754</t>
  </si>
  <si>
    <t>5dce4710-1731-11ee-8f7e-00e01a6800eb#731e1913-1731-11ee-8f7e-00e01a6800eb</t>
  </si>
  <si>
    <t>103217</t>
  </si>
  <si>
    <t>Пленка "Медовая коллекция"</t>
  </si>
  <si>
    <t>Темно-красный</t>
  </si>
  <si>
    <t>https://www.test.lavrpack.ru/local/templates/phoenix_v1/images_cache/thumbs/394349ec8c7411f62cb7b8ed3777dfac.webp?v=1790033754</t>
  </si>
  <si>
    <t>937a0d63-c9a2-11ee-a0ad-00e01a6800eb#d50ed6e2-c9a2-11ee-a0ad-00e01a6800eb</t>
  </si>
  <si>
    <t>106027</t>
  </si>
  <si>
    <t>Пленка "Милан"</t>
  </si>
  <si>
    <t>Песочный</t>
  </si>
  <si>
    <t>58см×5м,</t>
  </si>
  <si>
    <t>c7d1f17a-92e5-11f0-ab48-22344d083d2c#faced264-92e5-11f0-ab48-22344d083d2c</t>
  </si>
  <si>
    <t>114857</t>
  </si>
  <si>
    <t>Пленка "Перламутр"</t>
  </si>
  <si>
    <t>56см×10м,</t>
  </si>
  <si>
    <t>https://www.test.lavrpack.ru/local/templates/phoenix_v1/images_cache/thumbs/ff6da4c79e3a51029856e6ba99368fc0.webp?v=1790033754</t>
  </si>
  <si>
    <t>c7d1f17a-92e5-11f0-ab48-22344d083d2c#0996ee9b-92e6-11f0-ab48-22344d083d2c</t>
  </si>
  <si>
    <t>https://www.test.lavrpack.ru/local/templates/phoenix_v1/images_cache/thumbs/f581cdd324377e826ec1ac46a4243661.webp?v=1790033754</t>
  </si>
  <si>
    <t>5e124fcb-ac37-11ed-ba70-00e01a6800eb#9c7d406d-ac3c-11ed-ba70-00e01a6800eb</t>
  </si>
  <si>
    <t>78640</t>
  </si>
  <si>
    <t>Пленка "Свет"</t>
  </si>
  <si>
    <t>https://www.test.lavrpack.ru/local/templates/phoenix_v1/images_cache/thumbs/9e44ac5983b33d04ea5e1069ffaaa3f5.webp?v=1790033754</t>
  </si>
  <si>
    <t>73e8c84d-ac32-11ed-ba70-00e01a6800eb#b4b328c7-ac35-11ed-ba70-00e01a6800eb</t>
  </si>
  <si>
    <t>78639</t>
  </si>
  <si>
    <t>Пленка "Синтия"</t>
  </si>
  <si>
    <t>Серый</t>
  </si>
  <si>
    <t>https://www.test.lavrpack.ru/local/templates/phoenix_v1/images_cache/thumbs/ab6532c08ba5b51cc228d0875f7f7cdc.webp?v=1790033754</t>
  </si>
  <si>
    <t>73e8c84d-ac32-11ed-ba70-00e01a6800eb#34637e22-ac33-11ed-ba70-00e01a6800eb</t>
  </si>
  <si>
    <t>Серебряный</t>
  </si>
  <si>
    <t>https://www.test.lavrpack.ru/local/templates/phoenix_v1/images_cache/thumbs/88ffe0b7aeecc5c9c37bdcbf90a14616.webp?v=1790033754</t>
  </si>
  <si>
    <t>73e8c84d-ac32-11ed-ba70-00e01a6800eb#7e97ee47-ac33-11ed-ba70-00e01a6800eb</t>
  </si>
  <si>
    <t>Фиолетовый пуддинг</t>
  </si>
  <si>
    <t>https://www.test.lavrpack.ru/local/templates/phoenix_v1/images_cache/thumbs/b8e3b4b9ef207d8ca29d009a75ba1fd7.webp?v=1790033754</t>
  </si>
  <si>
    <t>73e8c84d-ac32-11ed-ba70-00e01a6800eb#5f6102cf-ac33-11ed-ba70-00e01a6800eb</t>
  </si>
  <si>
    <t>Кофейный</t>
  </si>
  <si>
    <t>https://www.test.lavrpack.ru/local/templates/phoenix_v1/images_cache/thumbs/a1583b104a611e49e0e7eba75ccc955b.webp?v=1790033754</t>
  </si>
  <si>
    <t>73e8c84d-ac32-11ed-ba70-00e01a6800eb#e3e87a14-ac35-11ed-ba70-00e01a6800eb</t>
  </si>
  <si>
    <t>https://www.test.lavrpack.ru/local/templates/phoenix_v1/images_cache/thumbs/b1c1103880edf39856157d09062868c8.webp?v=1790033754</t>
  </si>
  <si>
    <t>73e8c84d-ac32-11ed-ba70-00e01a6800eb#d03e84de-ac32-11ed-ba70-00e01a6800eb</t>
  </si>
  <si>
    <t>https://www.test.lavrpack.ru/local/templates/phoenix_v1/images_cache/thumbs/114fabd5cdc84b8633f993d40dde9b35.webp?v=1790033754</t>
  </si>
  <si>
    <t>73e8c84d-ac32-11ed-ba70-00e01a6800eb#50ad552c-ac33-11ed-ba70-00e01a6800eb</t>
  </si>
  <si>
    <t>Пепельно-синий</t>
  </si>
  <si>
    <t>https://www.test.lavrpack.ru/local/templates/phoenix_v1/images_cache/thumbs/7121bde92c161941696c4ba7d9abb5de.webp?v=1790033754</t>
  </si>
  <si>
    <t>73e8c84d-ac32-11ed-ba70-00e01a6800eb#9772ac93-ac33-11ed-ba70-00e01a6800eb</t>
  </si>
  <si>
    <t>Пепельно-зеленый</t>
  </si>
  <si>
    <t>https://www.test.lavrpack.ru/local/templates/phoenix_v1/images_cache/thumbs/954d9a68f25e53cd81452191a25340ed.webp?v=1790033754</t>
  </si>
  <si>
    <t>67e65602-ac62-11ed-ba70-00e01a6800eb#ef3f6f20-ac62-11ed-ba70-00e01a6800eb</t>
  </si>
  <si>
    <t>79851</t>
  </si>
  <si>
    <t>Пленка "Цветение"</t>
  </si>
  <si>
    <t>Закат</t>
  </si>
  <si>
    <t>https://www.test.lavrpack.ru/local/templates/phoenix_v1/images_cache/thumbs/79a8b5054071eda23908b7b6c2fafa4e.webp?v=1790033754</t>
  </si>
  <si>
    <t>44d3d5ee-ca38-11ee-a0ad-00e01a6800eb#6a5fca6b-ca38-11ee-a0ad-00e01a6800eb</t>
  </si>
  <si>
    <t>106049</t>
  </si>
  <si>
    <t>Пленка "Cristal"</t>
  </si>
  <si>
    <t>https://www.test.lavrpack.ru/local/templates/phoenix_v1/images_cache/thumbs/3c71de7cf73410576b27cfb9a4dd8513.webp?v=1790033754</t>
  </si>
  <si>
    <t>44d3d5ee-ca38-11ee-a0ad-00e01a6800eb#8e016376-ca38-11ee-a0ad-00e01a6800eb</t>
  </si>
  <si>
    <t>https://www.test.lavrpack.ru/local/templates/phoenix_v1/images_cache/thumbs/495431ba933b7099c99da121d6bde35f.webp?v=1790033754</t>
  </si>
  <si>
    <t>44d3d5ee-ca38-11ee-a0ad-00e01a6800eb#dc214d34-ca38-11ee-a0ad-00e01a6800eb</t>
  </si>
  <si>
    <t>https://www.test.lavrpack.ru/local/templates/phoenix_v1/images_cache/thumbs/4cefe0407021de4b6c46b407eab86c0c.webp?v=1790033754</t>
  </si>
  <si>
    <t>44d3d5ee-ca38-11ee-a0ad-00e01a6800eb#0c78df65-ca39-11ee-a0ad-00e01a6800eb</t>
  </si>
  <si>
    <t>https://www.test.lavrpack.ru/local/templates/phoenix_v1/images_cache/thumbs/c9773b2f67a2abcd33712907149b8e98.webp?v=1790033754</t>
  </si>
  <si>
    <t>44d3d5ee-ca38-11ee-a0ad-00e01a6800eb#08a113ca-4d13-11f0-ab41-22344d083d2c</t>
  </si>
  <si>
    <t>Шоколадный</t>
  </si>
  <si>
    <t>https://www.test.lavrpack.ru/local/templates/phoenix_v1/images_cache/thumbs/393628f914c7297e8dee8b98f3d7ba4a.webp?v=1790033754</t>
  </si>
  <si>
    <t>44d3d5ee-ca38-11ee-a0ad-00e01a6800eb#b2532265-ca38-11ee-a0ad-00e01a6800eb</t>
  </si>
  <si>
    <t>https://www.test.lavrpack.ru/local/templates/phoenix_v1/images_cache/thumbs/955bac42f99804341d9cec5e3e8d9d9d.webp?v=1790033754</t>
  </si>
  <si>
    <t>44d3d5ee-ca38-11ee-a0ad-00e01a6800eb#d19ab77e-ca38-11ee-a0ad-00e01a6800eb</t>
  </si>
  <si>
    <t>Лиловый</t>
  </si>
  <si>
    <t>https://www.test.lavrpack.ru/local/templates/phoenix_v1/images_cache/thumbs/87020b1630e7b702f1e248c1f1f93fcc.webp?v=1790033754</t>
  </si>
  <si>
    <t>44d3d5ee-ca38-11ee-a0ad-00e01a6800eb#5a7496a5-ca38-11ee-a0ad-00e01a6800eb</t>
  </si>
  <si>
    <t>https://www.test.lavrpack.ru/local/templates/phoenix_v1/images_cache/thumbs/15e3bd6dd17b40e463360f58b653484b.webp?v=1790033754</t>
  </si>
  <si>
    <t>44d3d5ee-ca38-11ee-a0ad-00e01a6800eb#63a6c785-ca38-11ee-a0ad-00e01a6800eb</t>
  </si>
  <si>
    <t>https://www.test.lavrpack.ru/local/templates/phoenix_v1/images_cache/thumbs/460c3aa5c86e5427d7f085cbf308cea2.webp?v=1790033754</t>
  </si>
  <si>
    <t>44d3d5ee-ca38-11ee-a0ad-00e01a6800eb#ac21cdee-ca38-11ee-a0ad-00e01a6800eb</t>
  </si>
  <si>
    <t>https://www.test.lavrpack.ru/local/templates/phoenix_v1/images_cache/thumbs/c5dd5386c5f842f897a213b1a4bc9430.webp?v=1790033754</t>
  </si>
  <si>
    <t>44d3d5ee-ca38-11ee-a0ad-00e01a6800eb#bf1e87de-ca38-11ee-a0ad-00e01a6800eb</t>
  </si>
  <si>
    <t>https://www.test.lavrpack.ru/local/templates/phoenix_v1/images_cache/thumbs/812a3114ed44a3ef3b27aa043579734d.webp?v=1790033754</t>
  </si>
  <si>
    <t>44d3d5ee-ca38-11ee-a0ad-00e01a6800eb#a9f3c346-a541-11f1-ab51-22344d083d2c</t>
  </si>
  <si>
    <t>Золотой</t>
  </si>
  <si>
    <t>44d3d5ee-ca38-11ee-a0ad-00e01a6800eb#c02cb3b1-a541-11f1-ab51-22344d083d2c</t>
  </si>
  <si>
    <t>44d3d5ee-ca38-11ee-a0ad-00e01a6800eb#5411455f-ca38-11ee-a0ad-00e01a6800eb</t>
  </si>
  <si>
    <t>https://www.test.lavrpack.ru/local/templates/phoenix_v1/images_cache/thumbs/28359ebb8376ab3bd9e3d0fc8aa1620a.webp?v=1790033754</t>
  </si>
  <si>
    <t>44d3d5ee-ca38-11ee-a0ad-00e01a6800eb#a203f4c4-ca38-11ee-a0ad-00e01a6800eb</t>
  </si>
  <si>
    <t>Светло-желтый</t>
  </si>
  <si>
    <t>https://www.test.lavrpack.ru/local/templates/phoenix_v1/images_cache/thumbs/d5cc80fd526aad6819f6f550d94d7901.webp?v=1790033754</t>
  </si>
  <si>
    <t>9c173049-4a1b-11f1-ab50-22344d083d2c#494c0326-a53f-11f1-ab51-22344d083d2c</t>
  </si>
  <si>
    <t>118266</t>
  </si>
  <si>
    <t>Нежно-розовый</t>
  </si>
  <si>
    <t>60см×30м,</t>
  </si>
  <si>
    <t>9c173049-4a1b-11f1-ab50-22344d083d2c#2f61119b-a53f-11f1-ab51-22344d083d2c</t>
  </si>
  <si>
    <t>9c173049-4a1b-11f1-ab50-22344d083d2c#a8c93df6-4a1b-11f1-ab50-22344d083d2c</t>
  </si>
  <si>
    <t>9c173049-4a1b-11f1-ab50-22344d083d2c#36baec9d-a53f-11f1-ab51-22344d083d2c</t>
  </si>
  <si>
    <t>9c173049-4a1b-11f1-ab50-22344d083d2c#5c5d901c-a53f-11f1-ab51-22344d083d2c</t>
  </si>
  <si>
    <t>Осенний</t>
  </si>
  <si>
    <t>9c173049-4a1b-11f1-ab50-22344d083d2c#b6777291-4a1b-11f1-ab50-22344d083d2c</t>
  </si>
  <si>
    <t>9c173049-4a1b-11f1-ab50-22344d083d2c#50086a78-a53f-11f1-ab51-22344d083d2c</t>
  </si>
  <si>
    <t>9c173049-4a1b-11f1-ab50-22344d083d2c#3cd98902-a53f-11f1-ab51-22344d083d2c</t>
  </si>
  <si>
    <t>Бледно-розовый</t>
  </si>
  <si>
    <t>ce981a64-bba4-11ef-ab3b-22344d083d2c#e2a7c422-bba4-11ef-ab3b-22344d083d2c</t>
  </si>
  <si>
    <t>110797</t>
  </si>
  <si>
    <t>Плёнка блестящая "Листья"</t>
  </si>
  <si>
    <t>50смx5м,</t>
  </si>
  <si>
    <t>https://www.test.lavrpack.ru/local/templates/phoenix_v1/images_cache/thumbs/22425b4cc890259b09b90596406d83e2.webp?v=1790033754</t>
  </si>
  <si>
    <t>44c82c41-ac58-11ed-ba70-00e01a6800eb#16e5a656-ac5b-11ed-ba70-00e01a6800eb</t>
  </si>
  <si>
    <t>78646</t>
  </si>
  <si>
    <t>Пленка Золотой песок</t>
  </si>
  <si>
    <t>Морские водоросли/Лазурный</t>
  </si>
  <si>
    <t>https://www.test.lavrpack.ru/local/templates/phoenix_v1/images_cache/thumbs/66046e325a673827fa96f1ee9adbd46b.webp?v=1790033754</t>
  </si>
  <si>
    <t>44c82c41-ac58-11ed-ba70-00e01a6800eb#9a267ca3-ac58-11ed-ba70-00e01a6800eb</t>
  </si>
  <si>
    <t>Черный/Фуксия</t>
  </si>
  <si>
    <t>https://www.test.lavrpack.ru/local/templates/phoenix_v1/images_cache/thumbs/144b6b79ebd09d7478190979d5e3fbfb.webp?v=1790033754</t>
  </si>
  <si>
    <t>44c82c41-ac58-11ed-ba70-00e01a6800eb#dee1ce3d-ac5a-11ed-ba70-00e01a6800eb</t>
  </si>
  <si>
    <t>Лунная ночь/Серебрянная звезда</t>
  </si>
  <si>
    <t>https://www.test.lavrpack.ru/local/templates/phoenix_v1/images_cache/thumbs/9ed985ce694bbb56c9ff261bf86a238a.webp?v=1790033754</t>
  </si>
  <si>
    <t>e9098bd2-c975-11ee-a0ad-00e01a6800eb#f0fcc46c-c975-11ee-a0ad-00e01a6800eb</t>
  </si>
  <si>
    <t>106009</t>
  </si>
  <si>
    <t>Пленка прозрачная</t>
  </si>
  <si>
    <t>70см</t>
  </si>
  <si>
    <t>1кг</t>
  </si>
  <si>
    <t>https://www.test.lavrpack.ru/local/templates/phoenix_v1/images_cache/thumbs/8e85e44c69e519930a188729327d5841.webp?v=1789992962</t>
  </si>
  <si>
    <t>e9098bd2-c975-11ee-a0ad-00e01a6800eb#d8a81fc8-3d2d-11f0-ab41-22344d083d2c</t>
  </si>
  <si>
    <t>50см</t>
  </si>
  <si>
    <t>https://www.test.lavrpack.ru/local/templates/phoenix_v1/images_cache/thumbs/5ab0224fdea150fb340f847e231a372e.webp?v=1789992962</t>
  </si>
  <si>
    <t>e9098bd2-c975-11ee-a0ad-00e01a6800eb#f0fcc45c-c975-11ee-a0ad-00e01a6800eb</t>
  </si>
  <si>
    <t>60см</t>
  </si>
  <si>
    <t>https://www.test.lavrpack.ru/local/templates/phoenix_v1/images_cache/thumbs/70a6f8e6eefd60b161fb04cad022074d.webp?v=1789992962</t>
  </si>
  <si>
    <t>84d0e099-c973-11ee-a0ad-00e01a6800eb#8d49e43a-c974-11ee-a0ad-00e01a6800eb</t>
  </si>
  <si>
    <t>106006</t>
  </si>
  <si>
    <t>200гр</t>
  </si>
  <si>
    <t>https://www.test.lavrpack.ru/local/templates/phoenix_v1/images_cache/thumbs/01bf9fc0455417c7d4d6fa074901cb20.webp?v=1789992962</t>
  </si>
  <si>
    <t>84d0e099-c973-11ee-a0ad-00e01a6800eb#9d45c1b1-c974-11ee-a0ad-00e01a6800eb</t>
  </si>
  <si>
    <t>e888838b-c974-11ee-a0ad-00e01a6800eb#1bd76cb3-c975-11ee-a0ad-00e01a6800eb</t>
  </si>
  <si>
    <t>106008</t>
  </si>
  <si>
    <t>400гр</t>
  </si>
  <si>
    <t>https://www.test.lavrpack.ru/local/templates/phoenix_v1/images_cache/thumbs/0b7f74bcefc86243fc8f9b7f9e59b013.webp?v=1790033754</t>
  </si>
  <si>
    <t>e888838b-c974-11ee-a0ad-00e01a6800eb#0eb192f1-c975-11ee-a0ad-00e01a6800eb</t>
  </si>
  <si>
    <t>https://www.test.lavrpack.ru/local/templates/phoenix_v1/images_cache/thumbs/b7ddbe439c880711ab9d825f98e42174.webp?v=1790033754</t>
  </si>
  <si>
    <t>e888838b-c974-11ee-a0ad-00e01a6800eb#01da46ed-c975-11ee-a0ad-00e01a6800eb</t>
  </si>
  <si>
    <t>40см</t>
  </si>
  <si>
    <t>https://www.test.lavrpack.ru/local/templates/phoenix_v1/images_cache/thumbs/e9bc815cc2114c9fa2f256f7f48a4a4b.webp?v=1790033754</t>
  </si>
  <si>
    <t>7478621f-2f9a-11ef-843e-00e01a6800eb#7c6dfc09-2f9a-11ef-843e-00e01a6800eb</t>
  </si>
  <si>
    <t>108242</t>
  </si>
  <si>
    <t>800гр</t>
  </si>
  <si>
    <t>https://www.test.lavrpack.ru/local/templates/phoenix_v1/images_cache/thumbs/74d7499ac9cbd24dacbada5b711eb0ab.webp?v=1789992962</t>
  </si>
  <si>
    <t>7478621f-2f9a-11ef-843e-00e01a6800eb#a28b5cae-6a88-11ef-ab51-1cfd08767542</t>
  </si>
  <si>
    <t>https://www.test.lavrpack.ru/local/templates/phoenix_v1/images_cache/thumbs/ab82d8c3dde4108dc839972571dba536.webp?v=1789992962</t>
  </si>
  <si>
    <t>933921b7-47e8-11ee-a90e-00e01a6800eb#5ea74992-47e9-11ee-a90e-00e01a6800eb</t>
  </si>
  <si>
    <t>103865</t>
  </si>
  <si>
    <t>Пленка Lizhiran</t>
  </si>
  <si>
    <t>Пудра/Песочный</t>
  </si>
  <si>
    <t>https://www.test.lavrpack.ru/local/templates/phoenix_v1/images_cache/thumbs/556ac4554a323484957ddfed77a0a5b3.webp?v=1790033754</t>
  </si>
  <si>
    <t>2222195a-901c-11ee-a8ad-00e01a6800eb#7acd5b58-901c-11ee-a8ad-00e01a6800eb</t>
  </si>
  <si>
    <t>105200</t>
  </si>
  <si>
    <t>Пленка"Golden Street"</t>
  </si>
  <si>
    <t>Серо-зеленый</t>
  </si>
  <si>
    <t>45см×10м,</t>
  </si>
  <si>
    <t>https://www.test.lavrpack.ru/local/templates/phoenix_v1/images_cache/thumbs/05afc1e9c9d984c8631c2ac13b04793a.webp?v=1790033754</t>
  </si>
  <si>
    <t>Листы · Матовая — 95 поз.</t>
  </si>
  <si>
    <t>b8ddd166-a8cb-11f0-ab48-22344d083d2c#c4f24296-a8cb-11f0-ab48-22344d083d2c</t>
  </si>
  <si>
    <t>115380</t>
  </si>
  <si>
    <t>Набор матовой пленки "L"</t>
  </si>
  <si>
    <t>60см*60см, Черный</t>
  </si>
  <si>
    <t>20 листов</t>
  </si>
  <si>
    <t>https://www.test.lavrpack.ru/local/templates/phoenix_v1/images_cache/thumbs/af97db9adcbf527248b7c188e83f9790.webp?v=1790033754</t>
  </si>
  <si>
    <t>1dae4c2a-63d1-11f0-ab47-22344d083d2c#5786ae85-63d1-11f0-ab47-22344d083d2c</t>
  </si>
  <si>
    <t>113716</t>
  </si>
  <si>
    <t>Пленка "Бесконечность"</t>
  </si>
  <si>
    <t>(20 листов), Лаванда</t>
  </si>
  <si>
    <t>58см×58см</t>
  </si>
  <si>
    <t>https://www.test.lavrpack.ru/local/templates/phoenix_v1/images_cache/thumbs/41715d8bfad1942e71a76cacbaa2004d.webp?v=1789992962</t>
  </si>
  <si>
    <t>1dae4c2a-63d1-11f0-ab47-22344d083d2c#5f5798a9-63d1-11f0-ab47-22344d083d2c</t>
  </si>
  <si>
    <t>(20 листов), Черный</t>
  </si>
  <si>
    <t>https://www.test.lavrpack.ru/local/templates/phoenix_v1/images_cache/thumbs/b8cfd182b3131aac61f0fa2028b2e6f0.webp?v=1789992962</t>
  </si>
  <si>
    <t>1dae4c2a-63d1-11f0-ab47-22344d083d2c#2cc61a35-63d1-11f0-ab47-22344d083d2c</t>
  </si>
  <si>
    <t>(20 листов), Шампань</t>
  </si>
  <si>
    <t>https://www.test.lavrpack.ru/local/templates/phoenix_v1/images_cache/thumbs/28958eebf92e167d7d31be1cb9acb71a.webp?v=1789992962</t>
  </si>
  <si>
    <t>1dae4c2a-63d1-11f0-ab47-22344d083d2c#399adc5b-63d1-11f0-ab47-22344d083d2c</t>
  </si>
  <si>
    <t>(20 листов), Сакура</t>
  </si>
  <si>
    <t>https://www.test.lavrpack.ru/local/templates/phoenix_v1/images_cache/thumbs/b86f673a1e211abb67add92e1a6ccec6.webp?v=1789992962</t>
  </si>
  <si>
    <t>1dae4c2a-63d1-11f0-ab47-22344d083d2c#4ab23681-63d1-11f0-ab47-22344d083d2c</t>
  </si>
  <si>
    <t>(20 листов), Голубой</t>
  </si>
  <si>
    <t>https://www.test.lavrpack.ru/local/templates/phoenix_v1/images_cache/thumbs/875af6c1c42b9ebd94a25cced4967fe5.webp?v=1789992962</t>
  </si>
  <si>
    <t>1dae4c2a-63d1-11f0-ab47-22344d083d2c#41b67977-63d1-11f0-ab47-22344d083d2c</t>
  </si>
  <si>
    <t>(20 листов), Слоновая кость</t>
  </si>
  <si>
    <t>https://www.test.lavrpack.ru/local/templates/phoenix_v1/images_cache/thumbs/687d04684733157999c20e0086d662d0.webp?v=1789992962</t>
  </si>
  <si>
    <t>b28d201d-63d6-11f0-ab47-22344d083d2c#cb78d8fa-63d6-11f0-ab47-22344d083d2c</t>
  </si>
  <si>
    <t>113719</t>
  </si>
  <si>
    <t>Пленка "Плетение"</t>
  </si>
  <si>
    <t>(20 листов), Красный</t>
  </si>
  <si>
    <t>57см×57см</t>
  </si>
  <si>
    <t>https://www.test.lavrpack.ru/local/templates/phoenix_v1/images_cache/thumbs/dce77d4d0a8ae261b43e8d2627f83c8d.webp?v=1789992962</t>
  </si>
  <si>
    <t>b28d201d-63d6-11f0-ab47-22344d083d2c#d263955b-63d6-11f0-ab47-22344d083d2c</t>
  </si>
  <si>
    <t>(20 листов), Фуксия</t>
  </si>
  <si>
    <t>https://www.test.lavrpack.ru/local/templates/phoenix_v1/images_cache/thumbs/c3bb13a8aca7655968d2d3bf7b8bc1d5.webp?v=1789992962</t>
  </si>
  <si>
    <t>b28d201d-63d6-11f0-ab47-22344d083d2c#d866616a-63d6-11f0-ab47-22344d083d2c</t>
  </si>
  <si>
    <t>(20 листов), Розовый</t>
  </si>
  <si>
    <t>https://www.test.lavrpack.ru/local/templates/phoenix_v1/images_cache/thumbs/40654c91553c6c8868785888469fa994.webp?v=1789992962</t>
  </si>
  <si>
    <t>b28d201d-63d6-11f0-ab47-22344d083d2c#b8e07e90-63d6-11f0-ab47-22344d083d2c</t>
  </si>
  <si>
    <t>(20 листов), Белый</t>
  </si>
  <si>
    <t>https://www.test.lavrpack.ru/local/templates/phoenix_v1/images_cache/thumbs/02a205dd00f25bbb06df04a6f33bbc54.webp?v=1789992962</t>
  </si>
  <si>
    <t>b28d201d-63d6-11f0-ab47-22344d083d2c#c56d07dc-63d6-11f0-ab47-22344d083d2c</t>
  </si>
  <si>
    <t>https://www.test.lavrpack.ru/local/templates/phoenix_v1/images_cache/thumbs/55d28c9eb2178613cafb685c2f660c98.webp?v=1789992962</t>
  </si>
  <si>
    <t>450d5698-9cd3-11ef-ab3b-22344d083d2c#572364f0-9cd3-11ef-ab3b-22344d083d2c</t>
  </si>
  <si>
    <t>110370</t>
  </si>
  <si>
    <t>Пленка "Стиль" 56*50см (10 листов), Светло-фиолетовый</t>
  </si>
  <si>
    <t>https://www.test.lavrpack.ru/local/templates/phoenix_v1/images_cache/thumbs/93f8a74eb92e43e490c2456efc111400.webp?v=1789992962</t>
  </si>
  <si>
    <t>450d5698-9cd3-11ef-ab3b-22344d083d2c#64abcf42-9cd3-11ef-ab3b-22344d083d2c</t>
  </si>
  <si>
    <t>Пленка "Стиль" 56*50см (10 листов), Синий</t>
  </si>
  <si>
    <t>https://www.test.lavrpack.ru/local/templates/phoenix_v1/images_cache/thumbs/3c8d028228b8bcaac660ce416bce8d1b.webp?v=1789992962</t>
  </si>
  <si>
    <t>450d5698-9cd3-11ef-ab3b-22344d083d2c#6adc1383-9cd3-11ef-ab3b-22344d083d2c</t>
  </si>
  <si>
    <t>Пленка "Стиль" 56*50см (10 листов), Шампань</t>
  </si>
  <si>
    <t>https://www.test.lavrpack.ru/local/templates/phoenix_v1/images_cache/thumbs/ac63e49a9dcd5ab7c5e86c4e4ed7307c.webp?v=1789992962</t>
  </si>
  <si>
    <t>d3720cff-63d3-11f0-ab47-22344d083d2c#00707ac9-63d4-11f0-ab47-22344d083d2c</t>
  </si>
  <si>
    <t>113717</t>
  </si>
  <si>
    <t>Пленка "LOVE life"</t>
  </si>
  <si>
    <t>(20 листов), Мятный</t>
  </si>
  <si>
    <t>https://www.test.lavrpack.ru/local/templates/phoenix_v1/images_cache/thumbs/9a2391261adffb65268f3dd7f27bb837.webp?v=1789992962</t>
  </si>
  <si>
    <t>d3720cff-63d3-11f0-ab47-22344d083d2c#4b7e79a7-63d4-11f0-ab47-22344d083d2c</t>
  </si>
  <si>
    <t>(20 листов), Оранжевый</t>
  </si>
  <si>
    <t>https://www.test.lavrpack.ru/local/templates/phoenix_v1/images_cache/thumbs/3b75296657e16e58d466b1ccc9ea22d0.webp?v=1789992962</t>
  </si>
  <si>
    <t>d3720cff-63d3-11f0-ab47-22344d083d2c#f9f207a0-63d3-11f0-ab47-22344d083d2c</t>
  </si>
  <si>
    <t>https://www.test.lavrpack.ru/local/templates/phoenix_v1/images_cache/thumbs/62961f6aeb7df862085664bd651e3ff2.webp?v=1789992962</t>
  </si>
  <si>
    <t>d3720cff-63d3-11f0-ab47-22344d083d2c#0839bba3-63d4-11f0-ab47-22344d083d2c</t>
  </si>
  <si>
    <t>(20 листов), Желтый</t>
  </si>
  <si>
    <t>https://www.test.lavrpack.ru/local/templates/phoenix_v1/images_cache/thumbs/0abf67b495628a979c11ef6431d16af2.webp?v=1789992962</t>
  </si>
  <si>
    <t>d3720cff-63d3-11f0-ab47-22344d083d2c#14f15a9c-63d4-11f0-ab47-22344d083d2c</t>
  </si>
  <si>
    <t>https://www.test.lavrpack.ru/local/templates/phoenix_v1/images_cache/thumbs/bc8b270d9a7789c0214b73ef6bca19b8.webp?v=1789992962</t>
  </si>
  <si>
    <t>95f05f22-92e4-11f0-ab48-22344d083d2c#acd6c158-92e4-11f0-ab48-22344d083d2c</t>
  </si>
  <si>
    <t>114850</t>
  </si>
  <si>
    <t>Пленка "Merry Christmas"</t>
  </si>
  <si>
    <t>(20 листов), Белый/Коричневый</t>
  </si>
  <si>
    <t>https://www.test.lavrpack.ru/local/templates/phoenix_v1/images_cache/thumbs/abcd713783147a8ab6beb31fd4cc3e0e.webp?v=1790033754</t>
  </si>
  <si>
    <t>95f05f22-92e4-11f0-ab48-22344d083d2c#b3a438f6-92e4-11f0-ab48-22344d083d2c</t>
  </si>
  <si>
    <t>(20 листов), Белый/Зеленый</t>
  </si>
  <si>
    <t>95f05f22-92e4-11f0-ab48-22344d083d2c#bf985cf3-92e4-11f0-ab48-22344d083d2c</t>
  </si>
  <si>
    <t>(20 листов), Красный/Зеленый</t>
  </si>
  <si>
    <t>95f05f22-92e4-11f0-ab48-22344d083d2c#a407fa8e-92e4-11f0-ab48-22344d083d2c</t>
  </si>
  <si>
    <t>(20 листов), Белый/Красный</t>
  </si>
  <si>
    <t>95f05f22-92e4-11f0-ab48-22344d083d2c#c6d2978c-92e4-11f0-ab48-22344d083d2c</t>
  </si>
  <si>
    <t>(20 листов), Зеленый</t>
  </si>
  <si>
    <t>06841901-7f2b-11ec-b73f-0018e40a3af2</t>
  </si>
  <si>
    <t>44345</t>
  </si>
  <si>
    <t>Пленка в рулоне</t>
  </si>
  <si>
    <t>Китай</t>
  </si>
  <si>
    <t>Матовая 60 см×10м. в ассорт</t>
  </si>
  <si>
    <t>https://www.test.lavrpack.ru/local/templates/phoenix_v1/images_cache/thumbs/f381e1f39e0ececa2a582d51648794bf.webp?v=1790033754</t>
  </si>
  <si>
    <t>03be191e-d6e7-11ee-a0ad-00e01a6800eb#2d7938eb-d6e7-11ee-a0ad-00e01a6800eb</t>
  </si>
  <si>
    <t>106524</t>
  </si>
  <si>
    <t>Пленка Воздушное сердце</t>
  </si>
  <si>
    <t>(20 листов), Персиковый</t>
  </si>
  <si>
    <t>https://www.test.lavrpack.ru/local/templates/phoenix_v1/images_cache/thumbs/2a26e9e1cc5da2920922c0b6bb3442d0.webp?v=1789992962</t>
  </si>
  <si>
    <t>03be191e-d6e7-11ee-a0ad-00e01a6800eb#340c25cf-d6e7-11ee-a0ad-00e01a6800eb</t>
  </si>
  <si>
    <t>(20 листов), Розовое золото</t>
  </si>
  <si>
    <t>https://www.test.lavrpack.ru/local/templates/phoenix_v1/images_cache/thumbs/700b57419475f9d8536606a95ccf1418.webp?v=1789992962</t>
  </si>
  <si>
    <t>03be191e-d6e7-11ee-a0ad-00e01a6800eb#0b65259f-d6e7-11ee-a0ad-00e01a6800eb</t>
  </si>
  <si>
    <t>https://www.test.lavrpack.ru/local/templates/phoenix_v1/images_cache/thumbs/f8601a5c4359ce22d2a2ace36d09e829.webp?v=1789992962</t>
  </si>
  <si>
    <t>a4ff0ee5-d6e8-11ee-a0ad-00e01a6800eb#bcca7042-d6e8-11ee-a0ad-00e01a6800eb</t>
  </si>
  <si>
    <t>106527</t>
  </si>
  <si>
    <t>Пленка Гипюр</t>
  </si>
  <si>
    <t>(20 листов), Светло-зеленый</t>
  </si>
  <si>
    <t>https://www.test.lavrpack.ru/local/templates/phoenix_v1/images_cache/thumbs/2c31246e60b56db793be08e7ad7dd06d.webp?v=1789992962</t>
  </si>
  <si>
    <t>96ce5b91-47f1-11ee-a90e-00e01a6800eb#f692f784-efee-11ee-9f05-00e01a6800eb</t>
  </si>
  <si>
    <t>103876</t>
  </si>
  <si>
    <t>Пленка двухсторонняя с градиентом</t>
  </si>
  <si>
    <t>(20 листов), Голубой+</t>
  </si>
  <si>
    <t>https://www.test.lavrpack.ru/local/templates/phoenix_v1/images_cache/thumbs/6c8665f5bc72095a92f3637d2952b3cc.webp?v=1789992962</t>
  </si>
  <si>
    <t>96ce5b91-47f1-11ee-a90e-00e01a6800eb#0d15dadc-efef-11ee-9f05-00e01a6800eb</t>
  </si>
  <si>
    <t>(20 листов), Крем+</t>
  </si>
  <si>
    <t>https://www.test.lavrpack.ru/local/templates/phoenix_v1/images_cache/thumbs/0fe71fb77f49e93a012570894d4938d7.webp?v=1789992962</t>
  </si>
  <si>
    <t>f7bd9b0a-d6ec-11ee-a0ad-00e01a6800eb#17f0d860-d6ed-11ee-a0ad-00e01a6800eb</t>
  </si>
  <si>
    <t>106535</t>
  </si>
  <si>
    <t>(20 листов), Лунная ночь/Серебрянная звезда</t>
  </si>
  <si>
    <t>https://www.test.lavrpack.ru/local/templates/phoenix_v1/images_cache/thumbs/edb817aac7d49280c6e9fd9007fd1c9a.webp?v=1789992962</t>
  </si>
  <si>
    <t>f2cbfd36-adfb-11ed-ba70-00e01a6800eb#6b173590-adfc-11ed-ba70-00e01a6800eb</t>
  </si>
  <si>
    <t>80194</t>
  </si>
  <si>
    <t>Пленка Летний цвет</t>
  </si>
  <si>
    <t>(20 листов), Жёлтый/Белый</t>
  </si>
  <si>
    <t>https://www.test.lavrpack.ru/local/templates/phoenix_v1/images_cache/thumbs/89aad03af8c28999b00c2661d43d5187.webp?v=1789992962</t>
  </si>
  <si>
    <t>9b73f809-d6f0-11ee-a0ad-00e01a6800eb#b108d1e5-d6f0-11ee-a0ad-00e01a6800eb</t>
  </si>
  <si>
    <t>106544</t>
  </si>
  <si>
    <t>Пленка Мармелад</t>
  </si>
  <si>
    <t>(20 листов), Красная слива</t>
  </si>
  <si>
    <t>https://www.test.lavrpack.ru/local/templates/phoenix_v1/images_cache/thumbs/d1e66eb6abb6b7c448afe08bbab3ff60.webp?v=1789992962</t>
  </si>
  <si>
    <t>9b73f809-d6f0-11ee-a0ad-00e01a6800eb#aab88b8b-d6f0-11ee-a0ad-00e01a6800eb</t>
  </si>
  <si>
    <t>(20 листов), Капучино</t>
  </si>
  <si>
    <t>https://www.test.lavrpack.ru/local/templates/phoenix_v1/images_cache/thumbs/f15df7a777323fe1f7f928ede4006c22.webp?v=1789992962</t>
  </si>
  <si>
    <t>9b73f809-d6f0-11ee-a0ad-00e01a6800eb#000fa12d-d6f1-11ee-a0ad-00e01a6800eb</t>
  </si>
  <si>
    <t>(20 листов), Серебро</t>
  </si>
  <si>
    <t>https://www.test.lavrpack.ru/local/templates/phoenix_v1/images_cache/thumbs/8560ef8f83ed390e31821293680e123a.webp?v=1789992962</t>
  </si>
  <si>
    <t>9b73f809-d6f0-11ee-a0ad-00e01a6800eb#e4b6f228-d6f0-11ee-a0ad-00e01a6800eb</t>
  </si>
  <si>
    <t>(20 листов), Нежно-желтый</t>
  </si>
  <si>
    <t>https://www.test.lavrpack.ru/local/templates/phoenix_v1/images_cache/thumbs/85436d8b218a65df583b6bf9a50900fe.webp?v=1789992962</t>
  </si>
  <si>
    <t>4dddd73f-4d00-11f0-ab41-22344d083d2c#549a6727-4d00-11f0-ab41-22344d083d2c</t>
  </si>
  <si>
    <t>113228</t>
  </si>
  <si>
    <t>"С Днём Рождения" 10 листов 58см×58см</t>
  </si>
  <si>
    <t>https://www.test.lavrpack.ru/local/templates/phoenix_v1/images_cache/thumbs/1d24c65c25ad971d7dadd0694f61fbfe.webp?v=1790033754</t>
  </si>
  <si>
    <t>4dddd73f-4d00-11f0-ab41-22344d083d2c#614c8762-4d00-11f0-ab41-22344d083d2c</t>
  </si>
  <si>
    <t>4dddd73f-4d00-11f0-ab41-22344d083d2c#14f9b252-4d02-11f0-ab41-22344d083d2c</t>
  </si>
  <si>
    <t>2280902b-63d8-11f0-ab47-22344d083d2c#552bb06b-63d8-11f0-ab47-22344d083d2c</t>
  </si>
  <si>
    <t>113720</t>
  </si>
  <si>
    <t>Пленка матовая "Кант"</t>
  </si>
  <si>
    <t>(20 листов), Серый</t>
  </si>
  <si>
    <t>https://www.test.lavrpack.ru/local/templates/phoenix_v1/images_cache/thumbs/ba8fab0d9b0a223d8eeab1bebfd4da1b.webp?v=1789992962</t>
  </si>
  <si>
    <t>2280902b-63d8-11f0-ab47-22344d083d2c#2f3a6532-63d8-11f0-ab47-22344d083d2c</t>
  </si>
  <si>
    <t>(20 листов), Бежевый</t>
  </si>
  <si>
    <t>https://www.test.lavrpack.ru/local/templates/phoenix_v1/images_cache/thumbs/77e9e0b6e2e1b23cbd127b470ff987b3.webp?v=1789992962</t>
  </si>
  <si>
    <t>2280902b-63d8-11f0-ab47-22344d083d2c#6adc560c-63d8-11f0-ab47-22344d083d2c</t>
  </si>
  <si>
    <t>https://www.test.lavrpack.ru/local/templates/phoenix_v1/images_cache/thumbs/2b0e80e0bf586bccfbe48cb6b7e3368a.webp?v=1789992962</t>
  </si>
  <si>
    <t>2280902b-63d8-11f0-ab47-22344d083d2c#63e53f28-63d8-11f0-ab47-22344d083d2c</t>
  </si>
  <si>
    <t>(20 листов), Синий</t>
  </si>
  <si>
    <t>https://www.test.lavrpack.ru/local/templates/phoenix_v1/images_cache/thumbs/3b45285498b2b77925f41b0314a392fa.webp?v=1789992962</t>
  </si>
  <si>
    <t>00c6e28a-63da-11f0-ab47-22344d083d2c#24ea6099-63da-11f0-ab47-22344d083d2c</t>
  </si>
  <si>
    <t>113726</t>
  </si>
  <si>
    <t>Пленка матовая "Amore"</t>
  </si>
  <si>
    <t>(20 листов), Фиолетовый</t>
  </si>
  <si>
    <t>https://www.test.lavrpack.ru/local/templates/phoenix_v1/images_cache/thumbs/8e6b26549980e35d031157625261efbc.webp?v=1789992962</t>
  </si>
  <si>
    <t>00c6e28a-63da-11f0-ab47-22344d083d2c#2b175c6c-63da-11f0-ab47-22344d083d2c</t>
  </si>
  <si>
    <t>https://www.test.lavrpack.ru/local/templates/phoenix_v1/images_cache/thumbs/d4bb6b3e5fc3a8310121c6e624864219.webp?v=1789992962</t>
  </si>
  <si>
    <t>00c6e28a-63da-11f0-ab47-22344d083d2c#1e7b4ce1-63da-11f0-ab47-22344d083d2c</t>
  </si>
  <si>
    <t>https://www.test.lavrpack.ru/local/templates/phoenix_v1/images_cache/thumbs/2155b452fd78311bcd356ab9cc4e8612.webp?v=1789992962</t>
  </si>
  <si>
    <t>00c6e28a-63da-11f0-ab47-22344d083d2c#09a6d9a1-63da-11f0-ab47-22344d083d2c</t>
  </si>
  <si>
    <t>https://www.test.lavrpack.ru/local/templates/phoenix_v1/images_cache/thumbs/83c6f7ca5469fd47000469a9b54a8166.webp?v=1789992962</t>
  </si>
  <si>
    <t>00c6e28a-63da-11f0-ab47-22344d083d2c#11f3b359-63da-11f0-ab47-22344d083d2c</t>
  </si>
  <si>
    <t>(20 листов), Персик</t>
  </si>
  <si>
    <t>https://www.test.lavrpack.ru/local/templates/phoenix_v1/images_cache/thumbs/7f06e21de32827f147da8293412cdbac.webp?v=1789992962</t>
  </si>
  <si>
    <t>00c6e28a-63da-11f0-ab47-22344d083d2c#1822d999-63da-11f0-ab47-22344d083d2c</t>
  </si>
  <si>
    <t>https://www.test.lavrpack.ru/local/templates/phoenix_v1/images_cache/thumbs/e6168867ee47da30bdb57acd188712dd.webp?v=1789992962</t>
  </si>
  <si>
    <t>dc099cb5-7fb6-11ee-a8ad-00e01a6800eb#abe5109e-0c35-11ef-9f05-00e01a6800eb</t>
  </si>
  <si>
    <t>104883</t>
  </si>
  <si>
    <t>Пленка матовая, цветной кант</t>
  </si>
  <si>
    <t>(20 листов) , Белый с черным</t>
  </si>
  <si>
    <t>https://www.test.lavrpack.ru/local/templates/phoenix_v1/images_cache/thumbs/75f06c85ade4f74d6d1e7daa83105acc.webp?v=1789992962</t>
  </si>
  <si>
    <t>dc099cb5-7fb6-11ee-a8ad-00e01a6800eb#6f7ffbce-7fb7-11ee-a8ad-00e01a6800eb</t>
  </si>
  <si>
    <t>(20 листов) , Винный</t>
  </si>
  <si>
    <t>https://www.test.lavrpack.ru/local/templates/phoenix_v1/images_cache/thumbs/4ee8f5e93f45a18a06065289e54015e3.webp?v=1789992962</t>
  </si>
  <si>
    <t>dc099cb5-7fb6-11ee-a8ad-00e01a6800eb#5512f503-7fb7-11ee-a8ad-00e01a6800eb</t>
  </si>
  <si>
    <t>(20 листов) , Светло фиолетовый</t>
  </si>
  <si>
    <t>https://www.test.lavrpack.ru/local/templates/phoenix_v1/images_cache/thumbs/a57e43c2371d4f60c410d3d2354343be.webp?v=1789992962</t>
  </si>
  <si>
    <t>dc099cb5-7fb6-11ee-a8ad-00e01a6800eb#5ebe8c20-7fb7-11ee-a8ad-00e01a6800eb</t>
  </si>
  <si>
    <t>(20 листов) , Сиреневый</t>
  </si>
  <si>
    <t>https://www.test.lavrpack.ru/local/templates/phoenix_v1/images_cache/thumbs/aa898983a37b3228e300f228b72155cd.webp?v=1789992962</t>
  </si>
  <si>
    <t>dc099cb5-7fb6-11ee-a8ad-00e01a6800eb#a329e463-0c35-11ef-9f05-00e01a6800eb</t>
  </si>
  <si>
    <t>(20 листов) , Серебро</t>
  </si>
  <si>
    <t>https://www.test.lavrpack.ru/local/templates/phoenix_v1/images_cache/thumbs/3e63ce8bff8caf3a6b456bef271efd81.webp?v=1789992962</t>
  </si>
  <si>
    <t>dc099cb5-7fb6-11ee-a8ad-00e01a6800eb#c6d76471-0c35-11ef-9f05-00e01a6800eb</t>
  </si>
  <si>
    <t>(20 листов) , Синий</t>
  </si>
  <si>
    <t>https://www.test.lavrpack.ru/local/templates/phoenix_v1/images_cache/thumbs/75ca70e30a0365b71499c70a8421d217.webp?v=1789992962</t>
  </si>
  <si>
    <t>dc099cb5-7fb6-11ee-a8ad-00e01a6800eb#772969bf-7fb7-11ee-a8ad-00e01a6800eb</t>
  </si>
  <si>
    <t>(20 листов) , Красный</t>
  </si>
  <si>
    <t>https://www.test.lavrpack.ru/local/templates/phoenix_v1/images_cache/thumbs/13b9ded11df3357d45365dd7b44171af.webp?v=1789992962</t>
  </si>
  <si>
    <t>dc099cb5-7fb6-11ee-a8ad-00e01a6800eb#4096fd97-7fb7-11ee-a8ad-00e01a6800eb</t>
  </si>
  <si>
    <t>(20 листов) , Голубой</t>
  </si>
  <si>
    <t>https://www.test.lavrpack.ru/local/templates/phoenix_v1/images_cache/thumbs/8c19d2f764f61b78fbff322eb3235423.webp?v=1789992962</t>
  </si>
  <si>
    <t>dc099cb5-7fb6-11ee-a8ad-00e01a6800eb#6702b374-7fb7-11ee-a8ad-00e01a6800eb</t>
  </si>
  <si>
    <t>(20 листов) , Фиолетовый</t>
  </si>
  <si>
    <t>https://www.test.lavrpack.ru/local/templates/phoenix_v1/images_cache/thumbs/82e3bfe4c9887c120d36c7904d57924a.webp?v=1789992962</t>
  </si>
  <si>
    <t>dc099cb5-7fb6-11ee-a8ad-00e01a6800eb#2d6383f2-7fb7-11ee-a8ad-00e01a6800eb</t>
  </si>
  <si>
    <t>(20 листов) , Бежевый</t>
  </si>
  <si>
    <t>https://www.test.lavrpack.ru/local/templates/phoenix_v1/images_cache/thumbs/bffe45291a06b0f4febe70721f3aa6f8.webp?v=1789992962</t>
  </si>
  <si>
    <t>2cb008d1-d6f3-11ee-a0ad-00e01a6800eb#66bcb79f-d6f3-11ee-a0ad-00e01a6800eb</t>
  </si>
  <si>
    <t>106548</t>
  </si>
  <si>
    <t>Пленка Мрамор</t>
  </si>
  <si>
    <t>https://www.test.lavrpack.ru/local/templates/phoenix_v1/images_cache/thumbs/7f3f541c35a92960908d1be8054fa5a9.webp?v=1789992962</t>
  </si>
  <si>
    <t>2cb008d1-d6f3-11ee-a0ad-00e01a6800eb#5969a3b7-d6f3-11ee-a0ad-00e01a6800eb</t>
  </si>
  <si>
    <t>(20 листов), Светло серый</t>
  </si>
  <si>
    <t>https://www.test.lavrpack.ru/local/templates/phoenix_v1/images_cache/thumbs/5da72374fbba6b7960c230fbe6257073.webp?v=1789992962</t>
  </si>
  <si>
    <t>d903d913-47ec-11ee-a90e-00e01a6800eb#f54f02b5-47ec-11ee-a90e-00e01a6800eb</t>
  </si>
  <si>
    <t>103866</t>
  </si>
  <si>
    <t>Пленка Сердце</t>
  </si>
  <si>
    <t>(20 листов), Белый/Черный</t>
  </si>
  <si>
    <t>https://www.test.lavrpack.ru/local/templates/phoenix_v1/images_cache/thumbs/8306ee2a55c9596fc02b63bcfe3dacb2.webp?v=1789992962</t>
  </si>
  <si>
    <t>98f0717d-d6f8-11ee-a0ad-00e01a6800eb#dc9cd0bb-d6f8-11ee-a0ad-00e01a6800eb</t>
  </si>
  <si>
    <t>106558</t>
  </si>
  <si>
    <t>Пленка Сливочная</t>
  </si>
  <si>
    <t>(20 листов), Розовый персик</t>
  </si>
  <si>
    <t>https://www.test.lavrpack.ru/local/templates/phoenix_v1/images_cache/thumbs/27e662034ca4d8b916569ad94f9f4da4.webp?v=1789992962</t>
  </si>
  <si>
    <t>98f0717d-d6f8-11ee-a0ad-00e01a6800eb#c7483c09-d6f8-11ee-a0ad-00e01a6800eb</t>
  </si>
  <si>
    <t>(20 листов), Кристально-фиолетовый</t>
  </si>
  <si>
    <t>https://www.test.lavrpack.ru/local/templates/phoenix_v1/images_cache/thumbs/9366e6cc0dd7a02dbb42823e030d92ff.webp?v=1789992962</t>
  </si>
  <si>
    <t>98f0717d-d6f8-11ee-a0ad-00e01a6800eb#d00a8c2d-d6f8-11ee-a0ad-00e01a6800eb</t>
  </si>
  <si>
    <t>(20 листов), Пепельная роза</t>
  </si>
  <si>
    <t>https://www.test.lavrpack.ru/local/templates/phoenix_v1/images_cache/thumbs/807f42630ebb4bd50fc8efac11ec3f36.webp?v=1789992962</t>
  </si>
  <si>
    <t>98f0717d-d6f8-11ee-a0ad-00e01a6800eb#c1442181-d6f8-11ee-a0ad-00e01a6800eb</t>
  </si>
  <si>
    <t>(20 листов), Конфетный</t>
  </si>
  <si>
    <t>https://www.test.lavrpack.ru/local/templates/phoenix_v1/images_cache/thumbs/53d357704782c079af99e7503feca22f.webp?v=1789992962</t>
  </si>
  <si>
    <t>98f0717d-d6f8-11ee-a0ad-00e01a6800eb#e4e0f7ea-d6f8-11ee-a0ad-00e01a6800eb</t>
  </si>
  <si>
    <t>(20 листов), Светло-голубой</t>
  </si>
  <si>
    <t>https://www.test.lavrpack.ru/local/templates/phoenix_v1/images_cache/thumbs/d21f34e364eef33a329e125f546ec132.webp?v=1789992962</t>
  </si>
  <si>
    <t>98f0717d-d6f8-11ee-a0ad-00e01a6800eb#f21519e1-d6f8-11ee-a0ad-00e01a6800eb</t>
  </si>
  <si>
    <t>(20 листов), Хрустальная роза</t>
  </si>
  <si>
    <t>https://www.test.lavrpack.ru/local/templates/phoenix_v1/images_cache/thumbs/48c097bc52ae8725e02dc0513b850f53.webp?v=1789992962</t>
  </si>
  <si>
    <t>98f0717d-d6f8-11ee-a0ad-00e01a6800eb#a01bb670-d6f8-11ee-a0ad-00e01a6800eb</t>
  </si>
  <si>
    <t>(20 листов), Авокадо</t>
  </si>
  <si>
    <t>https://www.test.lavrpack.ru/local/templates/phoenix_v1/images_cache/thumbs/53ce2ec3c62e7052d2c92bef27f4bfa5.webp?v=1789992962</t>
  </si>
  <si>
    <t>98f0717d-d6f8-11ee-a0ad-00e01a6800eb#acfee9ac-d6f8-11ee-a0ad-00e01a6800eb</t>
  </si>
  <si>
    <t>https://www.test.lavrpack.ru/local/templates/phoenix_v1/images_cache/thumbs/41554d2474c291eb51d70adcf67aed9a.webp?v=1789992962</t>
  </si>
  <si>
    <t>98f0717d-d6f8-11ee-a0ad-00e01a6800eb#a6d257f6-d6f8-11ee-a0ad-00e01a6800eb</t>
  </si>
  <si>
    <t>https://www.test.lavrpack.ru/local/templates/phoenix_v1/images_cache/thumbs/e7f184ad2785a16c5c47c0cc9a93671f.webp?v=1789992962</t>
  </si>
  <si>
    <t>42d85e30-9dbf-11ef-ab3b-22344d083d2c#a6dce740-9dbf-11ef-ab3b-22344d083d2c</t>
  </si>
  <si>
    <t>110398</t>
  </si>
  <si>
    <t>Пленка Сливочный микс</t>
  </si>
  <si>
    <t>(20 листов), Авакадо</t>
  </si>
  <si>
    <t>https://www.test.lavrpack.ru/local/templates/phoenix_v1/images_cache/thumbs/67be62a57268e48fa796ac00430c0839.webp?v=1789992962</t>
  </si>
  <si>
    <t>42d85e30-9dbf-11ef-ab3b-22344d083d2c#d79398bf-9dbf-11ef-ab3b-22344d083d2c</t>
  </si>
  <si>
    <t>https://www.test.lavrpack.ru/local/templates/phoenix_v1/images_cache/thumbs/6f9b3c5310592c31e22a69afc6527ba1.webp?v=1789992962</t>
  </si>
  <si>
    <t>42d85e30-9dbf-11ef-ab3b-22344d083d2c#068c0861-9dc0-11ef-ab3b-22344d083d2c</t>
  </si>
  <si>
    <t>https://www.test.lavrpack.ru/local/templates/phoenix_v1/images_cache/thumbs/16702755de812f45cf3ae5a5e014f75d.webp?v=1789992962</t>
  </si>
  <si>
    <t>42d85e30-9dbf-11ef-ab3b-22344d083d2c#b3acc1d6-9dbf-11ef-ab3b-22344d083d2c</t>
  </si>
  <si>
    <t>https://www.test.lavrpack.ru/local/templates/phoenix_v1/images_cache/thumbs/33d081b686faf017a04d00f26058e6b6.webp?v=1789992962</t>
  </si>
  <si>
    <t>c477b6d5-ae9c-11ed-ba70-00e01a6800eb#3fd93819-ae9d-11ed-ba70-00e01a6800eb</t>
  </si>
  <si>
    <t>80204</t>
  </si>
  <si>
    <t>Пленка Точка</t>
  </si>
  <si>
    <t>(20 листов), Сливочный (243)</t>
  </si>
  <si>
    <t>https://www.test.lavrpack.ru/local/templates/phoenix_v1/images_cache/thumbs/aa8141591d218b53c77fd7a710b361e6.webp?v=1789992962</t>
  </si>
  <si>
    <t>c477b6d5-ae9c-11ed-ba70-00e01a6800eb#2eaf0bd0-ae9d-11ed-ba70-00e01a6800eb</t>
  </si>
  <si>
    <t>(20 листов), Апельсиновый (051)</t>
  </si>
  <si>
    <t>https://www.test.lavrpack.ru/local/templates/phoenix_v1/images_cache/thumbs/4aab09150006ded73a74e8868a54cd03.webp?v=1789992962</t>
  </si>
  <si>
    <t>c477b6d5-ae9c-11ed-ba70-00e01a6800eb#5a7cfe7b-ae9d-11ed-ba70-00e01a6800eb</t>
  </si>
  <si>
    <t>(20 листов), Синий (105)</t>
  </si>
  <si>
    <t>https://www.test.lavrpack.ru/local/templates/phoenix_v1/images_cache/thumbs/749823e8c1da0c85bf8c4d4408a58b99.webp?v=1789992962</t>
  </si>
  <si>
    <t>c477b6d5-ae9c-11ed-ba70-00e01a6800eb#93b83433-ae9d-11ed-ba70-00e01a6800eb</t>
  </si>
  <si>
    <t>(20 листов), Пастельный (165)</t>
  </si>
  <si>
    <t>https://www.test.lavrpack.ru/local/templates/phoenix_v1/images_cache/thumbs/bc0e397707bdb07b1ce843e6d7659ce5.webp?v=1789992962</t>
  </si>
  <si>
    <t>db94fba1-ca5f-11ee-a0ad-00e01a6800eb#a84a9642-efee-11ee-9f05-00e01a6800eb</t>
  </si>
  <si>
    <t>106064</t>
  </si>
  <si>
    <t>(20 листов), Пудра/Песочный</t>
  </si>
  <si>
    <t>88c65df1-d6f6-11ee-a0ad-00e01a6800eb#f4eeefef-0924-11ef-9f05-00e01a6800eb</t>
  </si>
  <si>
    <t>106554</t>
  </si>
  <si>
    <t>Тишью Сидней</t>
  </si>
  <si>
    <t>(40 листов), Песочный</t>
  </si>
  <si>
    <t>50см×70м</t>
  </si>
  <si>
    <t>https://www.test.lavrpack.ru/local/templates/phoenix_v1/images_cache/thumbs/e8e2f42465731dd347e7ab98977dee24.webp?v=1789992962</t>
  </si>
  <si>
    <t>88c65df1-d6f6-11ee-a0ad-00e01a6800eb#3c8eec43-d6f7-11ee-a0ad-00e01a6800eb</t>
  </si>
  <si>
    <t>(40 листов), Черный</t>
  </si>
  <si>
    <t>https://www.test.lavrpack.ru/local/templates/phoenix_v1/images_cache/thumbs/adc8c77473b30f5afb737c39ea963b4e.webp?v=1789992962</t>
  </si>
  <si>
    <t>6c04b392-bcc5-11ed-8100-00e01a6800eb#79955f66-e5d9-11ed-8488-00e01a6800eb</t>
  </si>
  <si>
    <t>80628</t>
  </si>
  <si>
    <t>"Латексная пленка" 60×60см (10 листов)</t>
  </si>
  <si>
    <t>https://www.test.lavrpack.ru/local/templates/phoenix_v1/images_cache/thumbs/0d3ac0e15c6b4c82e445e17f782a0c7d.webp?v=1789992962</t>
  </si>
  <si>
    <t>6c04b392-bcc5-11ed-8100-00e01a6800eb#a4a89634-b6af-11ee-baea-00e01a6800eb</t>
  </si>
  <si>
    <t>Алый</t>
  </si>
  <si>
    <t>https://www.test.lavrpack.ru/local/templates/phoenix_v1/images_cache/thumbs/2a71f6b36b960bbd3613fdb62556c26a.webp?v=1789992962</t>
  </si>
  <si>
    <t>6c04b392-bcc5-11ed-8100-00e01a6800eb#c578ee5b-b6af-11ee-baea-00e01a6800eb</t>
  </si>
  <si>
    <t>https://www.test.lavrpack.ru/local/templates/phoenix_v1/images_cache/thumbs/39037325668d5c1d2155f483ec1cae6d.webp?v=1789992962</t>
  </si>
  <si>
    <t>6c04b392-bcc5-11ed-8100-00e01a6800eb#8953a4f2-bcc5-11ed-8100-00e01a6800eb</t>
  </si>
  <si>
    <t>https://www.test.lavrpack.ru/local/templates/phoenix_v1/images_cache/thumbs/59871874c10af48573947f73efb541ee.webp?v=1789992962</t>
  </si>
  <si>
    <t>6c04b392-bcc5-11ed-8100-00e01a6800eb#b631f979-b6af-11ee-baea-00e01a6800eb</t>
  </si>
  <si>
    <t>https://www.test.lavrpack.ru/local/templates/phoenix_v1/images_cache/thumbs/d30356bc0db8e0fd7c32112858cc4c08.webp?v=1789992962</t>
  </si>
  <si>
    <t>6c04b392-bcc5-11ed-8100-00e01a6800eb#92bef6e8-bcc5-11ed-8100-00e01a6800eb</t>
  </si>
  <si>
    <t>https://www.test.lavrpack.ru/local/templates/phoenix_v1/images_cache/thumbs/f9785e4d526608da452236046bc233e9.webp?v=1789992962</t>
  </si>
  <si>
    <t>6c04b392-bcc5-11ed-8100-00e01a6800eb#a470d1a1-bcc5-11ed-8100-00e01a6800eb</t>
  </si>
  <si>
    <t>https://www.test.lavrpack.ru/local/templates/phoenix_v1/images_cache/thumbs/09b287594b96f6c4a72dddad6fbc050e.webp?v=1789992962</t>
  </si>
  <si>
    <t>6c04b392-bcc5-11ed-8100-00e01a6800eb#d5d9a66b-be72-11ed-8100-00e01a6800eb</t>
  </si>
  <si>
    <t>https://www.test.lavrpack.ru/local/templates/phoenix_v1/images_cache/thumbs/021ea632c105a3b4a176b5584ba24769.webp?v=1789992962</t>
  </si>
  <si>
    <t>6c04b392-bcc5-11ed-8100-00e01a6800eb#7f571f0c-bcc5-11ed-8100-00e01a6800eb</t>
  </si>
  <si>
    <t>https://www.test.lavrpack.ru/local/templates/phoenix_v1/images_cache/thumbs/da071d76ff925fc47fb8cb6634e0816d.webp?v=1789992962</t>
  </si>
  <si>
    <t>6c04b392-bcc5-11ed-8100-00e01a6800eb#b3c60ec4-bcc5-11ed-8100-00e01a6800eb</t>
  </si>
  <si>
    <t>https://www.test.lavrpack.ru/local/templates/phoenix_v1/images_cache/thumbs/d66f3eef0cc70c50ef2684a8a4fec312.webp?v=1789992962</t>
  </si>
  <si>
    <t>6c04b392-bcc5-11ed-8100-00e01a6800eb#abf8ec3e-bcc5-11ed-8100-00e01a6800eb</t>
  </si>
  <si>
    <t>https://www.test.lavrpack.ru/local/templates/phoenix_v1/images_cache/thumbs/e4ea8a3fa3a336f9280c42ecac6854bd.webp?v=1789992962</t>
  </si>
  <si>
    <t>Листы · Глянцевая — 34 поз.</t>
  </si>
  <si>
    <t>451aad7b-92f1-11f0-ab48-22344d083d2c#651fbc62-92f1-11f0-ab48-22344d083d2c</t>
  </si>
  <si>
    <t>114922</t>
  </si>
  <si>
    <t>Пленка "Карамель"</t>
  </si>
  <si>
    <t>(10 листов), Розовый</t>
  </si>
  <si>
    <t>56см×56см</t>
  </si>
  <si>
    <t>https://www.test.lavrpack.ru/local/templates/phoenix_v1/images_cache/thumbs/fe5b0b73940a3018178ee9832cc688bf.webp?v=1790033754</t>
  </si>
  <si>
    <t>451aad7b-92f1-11f0-ab48-22344d083d2c#82b30190-92f1-11f0-ab48-22344d083d2c</t>
  </si>
  <si>
    <t>(10 листов), Синий</t>
  </si>
  <si>
    <t>https://www.test.lavrpack.ru/local/templates/phoenix_v1/images_cache/thumbs/7d2cacc73c441306f6458545e5e6f506.webp?v=1790033754</t>
  </si>
  <si>
    <t>451aad7b-92f1-11f0-ab48-22344d083d2c#6bdcc0c1-92f1-11f0-ab48-22344d083d2c</t>
  </si>
  <si>
    <t>(10 листов), Зеленый</t>
  </si>
  <si>
    <t>https://www.test.lavrpack.ru/local/templates/phoenix_v1/images_cache/thumbs/3cc18b56a98386b00d6c299011727304.webp?v=1790033754</t>
  </si>
  <si>
    <t>451aad7b-92f1-11f0-ab48-22344d083d2c#5e134df9-92f1-11f0-ab48-22344d083d2c</t>
  </si>
  <si>
    <t>(10 листов), Желтый</t>
  </si>
  <si>
    <t>https://www.test.lavrpack.ru/local/templates/phoenix_v1/images_cache/thumbs/ff53a679ca4da0be329537f5ce097a57.webp?v=1790033754</t>
  </si>
  <si>
    <t>451aad7b-92f1-11f0-ab48-22344d083d2c#51cbec7f-92f1-11f0-ab48-22344d083d2c</t>
  </si>
  <si>
    <t>(10 листов), Белый</t>
  </si>
  <si>
    <t>https://www.test.lavrpack.ru/local/templates/phoenix_v1/images_cache/thumbs/c71a76ac70bbcb8385da6ba41aaeddc8.webp?v=1790033754</t>
  </si>
  <si>
    <t>451aad7b-92f1-11f0-ab48-22344d083d2c#b7569de9-92f1-11f0-ab48-22344d083d2c</t>
  </si>
  <si>
    <t>(10 листов), Черный</t>
  </si>
  <si>
    <t>https://www.test.lavrpack.ru/local/templates/phoenix_v1/images_cache/thumbs/95f2f4673ff66617c6c7a9d00c79277c.webp?v=1790033754</t>
  </si>
  <si>
    <t>451aad7b-92f1-11f0-ab48-22344d083d2c#a6e1155a-92f1-11f0-ab48-22344d083d2c</t>
  </si>
  <si>
    <t>(10 листов), Фиолетовый</t>
  </si>
  <si>
    <t>https://www.test.lavrpack.ru/local/templates/phoenix_v1/images_cache/thumbs/c6a35a0ca4f95cb933afe915ab4c9f1d.webp?v=1790033754</t>
  </si>
  <si>
    <t>451aad7b-92f1-11f0-ab48-22344d083d2c#b03cc475-92f1-11f0-ab48-22344d083d2c</t>
  </si>
  <si>
    <t>(10 листов), Шампанское</t>
  </si>
  <si>
    <t>https://www.test.lavrpack.ru/local/templates/phoenix_v1/images_cache/thumbs/e9e19d9afadcd6cedfd99d7d740edffe.webp?v=1790033754</t>
  </si>
  <si>
    <t>382f046a-92e7-11f0-ab48-22344d083d2c#3f18520d-92e7-11f0-ab48-22344d083d2c</t>
  </si>
  <si>
    <t>114867</t>
  </si>
  <si>
    <t>Пленка "Красочный мир"</t>
  </si>
  <si>
    <t>(10 листов), Серый (Желто-зеленый)</t>
  </si>
  <si>
    <t>https://www.test.lavrpack.ru/local/templates/phoenix_v1/images_cache/thumbs/9148f7825f41d13bf4dfceaa5e063372.webp?v=1790033754</t>
  </si>
  <si>
    <t>382f046a-92e7-11f0-ab48-22344d083d2c#519c8a9d-92e7-11f0-ab48-22344d083d2c</t>
  </si>
  <si>
    <t>(10 листов), Оранжевый (Золотой)</t>
  </si>
  <si>
    <t>https://www.test.lavrpack.ru/local/templates/phoenix_v1/images_cache/thumbs/8cbdb940f05231b92203f6124344e9b1.webp?v=1790033754</t>
  </si>
  <si>
    <t>382f046a-92e7-11f0-ab48-22344d083d2c#79cfc909-92e7-11f0-ab48-22344d083d2c</t>
  </si>
  <si>
    <t>https://www.test.lavrpack.ru/local/templates/phoenix_v1/images_cache/thumbs/43e2c61deebf5971a56e15bd334cc356.webp?v=1790033754</t>
  </si>
  <si>
    <t>382f046a-92e7-11f0-ab48-22344d083d2c#736e311f-92e7-11f0-ab48-22344d083d2c</t>
  </si>
  <si>
    <t>(10 листов), Золото (Розовое золото)</t>
  </si>
  <si>
    <t>https://www.test.lavrpack.ru/local/templates/phoenix_v1/images_cache/thumbs/f1b57cec046d72ae36f9bc02263f4441.webp?v=1790033754</t>
  </si>
  <si>
    <t>382f046a-92e7-11f0-ab48-22344d083d2c#61dcf514-92e7-11f0-ab48-22344d083d2c</t>
  </si>
  <si>
    <t>(10 листов), Голубой</t>
  </si>
  <si>
    <t>https://www.test.lavrpack.ru/local/templates/phoenix_v1/images_cache/thumbs/d92eb0a9e743c2a5a68a93df0d17a0dc.webp?v=1790033754</t>
  </si>
  <si>
    <t>1b8aa63d-ae97-11ed-ba70-00e01a6800eb#379e2974-ae97-11ed-ba70-00e01a6800eb</t>
  </si>
  <si>
    <t>80202</t>
  </si>
  <si>
    <t>Пленка Горошек</t>
  </si>
  <si>
    <t>(20 листов), Серебряный/Белый</t>
  </si>
  <si>
    <t>https://www.test.lavrpack.ru/local/templates/phoenix_v1/images_cache/thumbs/e9187f6ea87c0ca3fd5b41c45e1db3e3.webp?v=1790033754</t>
  </si>
  <si>
    <t>2e2d3a2c-d6ea-11ee-a0ad-00e01a6800eb#cbfcf4c0-d6ea-11ee-a0ad-00e01a6800eb</t>
  </si>
  <si>
    <t>106531</t>
  </si>
  <si>
    <t>Пленка Желейная с золотым краем</t>
  </si>
  <si>
    <t>https://www.test.lavrpack.ru/local/templates/phoenix_v1/images_cache/thumbs/8e181dc05793cf4d683611ac4b4fb63e.webp?v=1790033754</t>
  </si>
  <si>
    <t>2e2d3a2c-d6ea-11ee-a0ad-00e01a6800eb#1e49a88e-d6eb-11ee-a0ad-00e01a6800eb</t>
  </si>
  <si>
    <t>https://www.test.lavrpack.ru/local/templates/phoenix_v1/images_cache/thumbs/8918ad6975b3ddf831e4390139810291.webp?v=1790033754</t>
  </si>
  <si>
    <t>9a7378c6-9039-11ee-a8ad-00e01a6800eb#bf293180-9039-11ee-a8ad-00e01a6800eb</t>
  </si>
  <si>
    <t>105206</t>
  </si>
  <si>
    <t>Пленка прозрачная "Бабочка", 58*58см, Голубой</t>
  </si>
  <si>
    <t>https://www.test.lavrpack.ru/local/templates/phoenix_v1/images_cache/thumbs/862fe75f45fb252f08c03e08c40acb51.webp?v=1790033754</t>
  </si>
  <si>
    <t>9a7378c6-9039-11ee-a8ad-00e01a6800eb#d25a49ba-9039-11ee-a8ad-00e01a6800eb</t>
  </si>
  <si>
    <t>Пленка прозрачная "Бабочка", 58*58см, Золотой</t>
  </si>
  <si>
    <t>https://www.test.lavrpack.ru/local/templates/phoenix_v1/images_cache/thumbs/6584d02e82f403e6ea8886e24ff6ccef.webp?v=1790033754</t>
  </si>
  <si>
    <t>9a7378c6-9039-11ee-a8ad-00e01a6800eb#c77ba119-9039-11ee-a8ad-00e01a6800eb</t>
  </si>
  <si>
    <t>Пленка прозрачная "Бабочка", 58*58см, Серый</t>
  </si>
  <si>
    <t>https://www.test.lavrpack.ru/local/templates/phoenix_v1/images_cache/thumbs/f30bcf3272e8b3638f10e72df859853a.webp?v=1790033754</t>
  </si>
  <si>
    <t>9a7378c6-9039-11ee-a8ad-00e01a6800eb#d928b8ef-9039-11ee-a8ad-00e01a6800eb</t>
  </si>
  <si>
    <t>Пленка прозрачная "Бабочка", 58*58см, Черный</t>
  </si>
  <si>
    <t>https://www.test.lavrpack.ru/local/templates/phoenix_v1/images_cache/thumbs/447d429bdb805456c8e4d655802a69da.webp?v=1790033754</t>
  </si>
  <si>
    <t>43be5159-63d9-11f0-ab47-22344d083d2c#6e8f8084-63d9-11f0-ab47-22344d083d2c</t>
  </si>
  <si>
    <t>113723</t>
  </si>
  <si>
    <t>Пленка прозрачная "Кант Сердце"</t>
  </si>
  <si>
    <t>https://www.test.lavrpack.ru/local/templates/phoenix_v1/images_cache/thumbs/7b25f2678346e347b13e63c5f34bcfa8.webp?v=1790033754</t>
  </si>
  <si>
    <t>43be5159-63d9-11f0-ab47-22344d083d2c#580d39e3-63d9-11f0-ab47-22344d083d2c</t>
  </si>
  <si>
    <t>https://www.test.lavrpack.ru/local/templates/phoenix_v1/images_cache/thumbs/1852ed5615427735768cb9f3f025fe24.webp?v=1790033754</t>
  </si>
  <si>
    <t>43be5159-63d9-11f0-ab47-22344d083d2c#74f98814-63d9-11f0-ab47-22344d083d2c</t>
  </si>
  <si>
    <t>https://www.test.lavrpack.ru/local/templates/phoenix_v1/images_cache/thumbs/cee47925af05ca4f1740f55063ac87f1.webp?v=1790033754</t>
  </si>
  <si>
    <t>43be5159-63d9-11f0-ab47-22344d083d2c#51b312e8-63d9-11f0-ab47-22344d083d2c</t>
  </si>
  <si>
    <t>https://www.test.lavrpack.ru/local/templates/phoenix_v1/images_cache/thumbs/7f4d117b8e2f58a86e862f19b3f3e93a.webp?v=1790033754</t>
  </si>
  <si>
    <t>43be5159-63d9-11f0-ab47-22344d083d2c#4b8cc381-63d9-11f0-ab47-22344d083d2c</t>
  </si>
  <si>
    <t>https://www.test.lavrpack.ru/local/templates/phoenix_v1/images_cache/thumbs/79485f651a8de25e80d808dccf9a0675.webp?v=1790033754</t>
  </si>
  <si>
    <t>43be5159-63d9-11f0-ab47-22344d083d2c#7cb9fb35-63d9-11f0-ab47-22344d083d2c</t>
  </si>
  <si>
    <t>https://www.test.lavrpack.ru/local/templates/phoenix_v1/images_cache/thumbs/f5af696aaf1c321c196082f874937d85.webp?v=1790033754</t>
  </si>
  <si>
    <t>b7401996-092a-11ef-9f05-00e01a6800eb#473e9757-092b-11ef-9f05-00e01a6800eb</t>
  </si>
  <si>
    <t>107491</t>
  </si>
  <si>
    <t>Пленка прозрачная "Любовь"</t>
  </si>
  <si>
    <t>https://www.test.lavrpack.ru/local/templates/phoenix_v1/images_cache/thumbs/c2997d0d5ce664c3a1ce29287e4f669a.webp?v=1790033754</t>
  </si>
  <si>
    <t>b7401996-092a-11ef-9f05-00e01a6800eb#d2835c27-092a-11ef-9f05-00e01a6800eb</t>
  </si>
  <si>
    <t>(20 листов), Кремовый</t>
  </si>
  <si>
    <t>https://www.test.lavrpack.ru/local/templates/phoenix_v1/images_cache/thumbs/17ec38f497fed2d19d13da5fa5bf957b.webp?v=1790033754</t>
  </si>
  <si>
    <t>5e7873b0-47f9-11ee-a90e-00e01a6800eb#ee6c2855-0c34-11ef-9f05-00e01a6800eb</t>
  </si>
  <si>
    <t>103887</t>
  </si>
  <si>
    <t>Пленка прозрачная, цветной кант</t>
  </si>
  <si>
    <t>https://www.test.lavrpack.ru/local/templates/phoenix_v1/images_cache/thumbs/ae1e7654a1348d61a9b9eefcb226cc39.webp?v=1790033754</t>
  </si>
  <si>
    <t>5e7873b0-47f9-11ee-a90e-00e01a6800eb#a12b57b0-8a02-11ee-a8ad-00e01a6800eb</t>
  </si>
  <si>
    <t>https://www.test.lavrpack.ru/local/templates/phoenix_v1/images_cache/thumbs/93d146a48c873ed0f276304bf58af7c3.webp?v=1790033754</t>
  </si>
  <si>
    <t>5e7873b0-47f9-11ee-a90e-00e01a6800eb#e1464e92-0c34-11ef-9f05-00e01a6800eb</t>
  </si>
  <si>
    <t>(20 листов), Песочный</t>
  </si>
  <si>
    <t>https://www.test.lavrpack.ru/local/templates/phoenix_v1/images_cache/thumbs/3da3eef69b7ddadcc65298c2fad529da.webp?v=1790033754</t>
  </si>
  <si>
    <t>5e7873b0-47f9-11ee-a90e-00e01a6800eb#f6bc36ac-0c34-11ef-9f05-00e01a6800eb</t>
  </si>
  <si>
    <t>https://www.test.lavrpack.ru/local/templates/phoenix_v1/images_cache/thumbs/334080b97cea87f633a605c0ac7b8f1a.webp?v=1790033754</t>
  </si>
  <si>
    <t>3bf4db5e-b109-11ed-ba70-00e01a6800eb#4fdf9ef9-b109-11ed-ba70-00e01a6800eb</t>
  </si>
  <si>
    <t>80304</t>
  </si>
  <si>
    <t>Пленка I will be your side</t>
  </si>
  <si>
    <t>(20 листов), Синий/Голубой</t>
  </si>
  <si>
    <t>https://www.test.lavrpack.ru/local/templates/phoenix_v1/images_cache/thumbs/6172f13139e5c7fdf59866bfca77a770.webp?v=1790033754</t>
  </si>
  <si>
    <t>f72896bc-77a8-11ed-bb4b-00e01a6800eb#64e2930a-77a9-11ed-bb4b-00e01a6800eb</t>
  </si>
  <si>
    <t>77723</t>
  </si>
  <si>
    <t>Упак. пленка</t>
  </si>
  <si>
    <t>"Фольга" 10 листов 50×58см</t>
  </si>
  <si>
    <t>https://www.test.lavrpack.ru/local/templates/phoenix_v1/images_cache/thumbs/027d4f2b078106623f081c61be032836.webp?v=1790033754</t>
  </si>
  <si>
    <t>Выбрано позиций</t>
  </si>
  <si>
    <t>Общее количество</t>
  </si>
  <si>
    <t>Сумма заказа</t>
  </si>
  <si>
    <t>служебная</t>
  </si>
  <si>
    <t>UUID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</si>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</sst>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d4db84adf271c8db25d0833e16f14b5f.jpg"/><Relationship Id="rId3" Type="http://schemas.openxmlformats.org/officeDocument/2006/relationships/image" Target="../media/afa257ec14655b6c2c0f376d5da95375.jpg"/><Relationship Id="rId4" Type="http://schemas.openxmlformats.org/officeDocument/2006/relationships/image" Target="../media/fa214ac258be6187177daf38d56128db.jpg"/><Relationship Id="rId5" Type="http://schemas.openxmlformats.org/officeDocument/2006/relationships/image" Target="../media/4f71650ceb18a2625a664568c4b29b82.jpg"/><Relationship Id="rId6" Type="http://schemas.openxmlformats.org/officeDocument/2006/relationships/image" Target="../media/92fdcaa7e8445fff9620ee48ac9055ac.jpg"/><Relationship Id="rId7" Type="http://schemas.openxmlformats.org/officeDocument/2006/relationships/image" Target="../media/a2b535fe8321c3e61ef78e5f9c089227.jpg"/><Relationship Id="rId8" Type="http://schemas.openxmlformats.org/officeDocument/2006/relationships/image" Target="../media/bf57a7abd17667eeb47e6e30aaa34a4e.jpg"/><Relationship Id="rId9" Type="http://schemas.openxmlformats.org/officeDocument/2006/relationships/image" Target="../media/dd00eeb5b543f3fb0b389bc09d1e0bea.jpg"/><Relationship Id="rId10" Type="http://schemas.openxmlformats.org/officeDocument/2006/relationships/image" Target="../media/27f6dea3cd7496561e545d9d36e4bf20.jpg"/><Relationship Id="rId11" Type="http://schemas.openxmlformats.org/officeDocument/2006/relationships/image" Target="../media/b82c40d0eb4f1b1509b7e6d74528af90.jpg"/><Relationship Id="rId12" Type="http://schemas.openxmlformats.org/officeDocument/2006/relationships/image" Target="../media/736dad8034c11ff0db9f91937a92974a.jpg"/><Relationship Id="rId13" Type="http://schemas.openxmlformats.org/officeDocument/2006/relationships/image" Target="../media/96a0113eb4bb0b37f34ee3c774db6320.jpg"/><Relationship Id="rId14" Type="http://schemas.openxmlformats.org/officeDocument/2006/relationships/image" Target="../media/f19353db785ea0550ec0b94bbff6a699.jpg"/><Relationship Id="rId15" Type="http://schemas.openxmlformats.org/officeDocument/2006/relationships/image" Target="../media/e69baffaea09a6af88e29a33f17d07e4.jpg"/><Relationship Id="rId16" Type="http://schemas.openxmlformats.org/officeDocument/2006/relationships/image" Target="../media/02b500a3f46be7c5c4c5d1536b0079ad.jpg"/><Relationship Id="rId17" Type="http://schemas.openxmlformats.org/officeDocument/2006/relationships/image" Target="../media/bd4595399030b4f0ac1ec6162519bcbf.jpg"/><Relationship Id="rId18" Type="http://schemas.openxmlformats.org/officeDocument/2006/relationships/image" Target="../media/c1c5c3f9863c9f8da77d1de6a6ce6df3.jpg"/><Relationship Id="rId19" Type="http://schemas.openxmlformats.org/officeDocument/2006/relationships/image" Target="../media/afb3ae532e43c8f0cd2484414ab772b6.jpg"/><Relationship Id="rId20" Type="http://schemas.openxmlformats.org/officeDocument/2006/relationships/image" Target="../media/1bfb5f897ab3880dce15a879cc502e4f.jpg"/><Relationship Id="rId21" Type="http://schemas.openxmlformats.org/officeDocument/2006/relationships/image" Target="../media/157f844b314aa268982354ab6a7910d4.jpg"/><Relationship Id="rId22" Type="http://schemas.openxmlformats.org/officeDocument/2006/relationships/image" Target="../media/88918d286b1f4c3023b14288d7c15238.jpg"/><Relationship Id="rId23" Type="http://schemas.openxmlformats.org/officeDocument/2006/relationships/image" Target="../media/080d1b429e01bd81a1b2cdceafeb0cb6.jpg"/><Relationship Id="rId24" Type="http://schemas.openxmlformats.org/officeDocument/2006/relationships/image" Target="../media/2c337749db2d7a083d67daa7c642bc8e.jpg"/><Relationship Id="rId25" Type="http://schemas.openxmlformats.org/officeDocument/2006/relationships/image" Target="../media/90c94ef31fb2afe16e5f3b6ce86ad2f8.jpg"/><Relationship Id="rId26" Type="http://schemas.openxmlformats.org/officeDocument/2006/relationships/image" Target="../media/c1142d67d2ccac72c9f0b1070b002261.jpg"/><Relationship Id="rId27" Type="http://schemas.openxmlformats.org/officeDocument/2006/relationships/image" Target="../media/d48d48fa6423f68a2f04f170a684823b.jpg"/><Relationship Id="rId28" Type="http://schemas.openxmlformats.org/officeDocument/2006/relationships/image" Target="../media/facc7a4e7c1f9a4ebb6c17e2c3a127f4.jpg"/><Relationship Id="rId29" Type="http://schemas.openxmlformats.org/officeDocument/2006/relationships/image" Target="../media/1b083053c9291d645e958da6749a0e2d.jpg"/><Relationship Id="rId30" Type="http://schemas.openxmlformats.org/officeDocument/2006/relationships/image" Target="../media/0b267aa6c7f9fabed7b5663a90d1d607.jpg"/><Relationship Id="rId31" Type="http://schemas.openxmlformats.org/officeDocument/2006/relationships/image" Target="../media/b19d5eac872a93b1e714a9622b314fcc.jpg"/><Relationship Id="rId32" Type="http://schemas.openxmlformats.org/officeDocument/2006/relationships/image" Target="../media/6b82054de155078b21017a82b47bd36c.jpg"/><Relationship Id="rId33" Type="http://schemas.openxmlformats.org/officeDocument/2006/relationships/image" Target="../media/f7e526a25e1f46797d6330df3c294d00.jpg"/><Relationship Id="rId34" Type="http://schemas.openxmlformats.org/officeDocument/2006/relationships/image" Target="../media/18bf646ac234e907f42ea8a39da1350b.jpg"/><Relationship Id="rId35" Type="http://schemas.openxmlformats.org/officeDocument/2006/relationships/image" Target="../media/0eb090da845bd6213ae9de18d204553d.jpg"/><Relationship Id="rId36" Type="http://schemas.openxmlformats.org/officeDocument/2006/relationships/image" Target="../media/f80b0d40c57ffadec6705980eb675e4e.jpg"/><Relationship Id="rId37" Type="http://schemas.openxmlformats.org/officeDocument/2006/relationships/image" Target="../media/ccbf216e0c55974c7668500260111b8a.jpg"/><Relationship Id="rId38" Type="http://schemas.openxmlformats.org/officeDocument/2006/relationships/image" Target="../media/3c5c77276cc237a7e11fde91de0bb935.jpg"/><Relationship Id="rId39" Type="http://schemas.openxmlformats.org/officeDocument/2006/relationships/image" Target="../media/50489e576bc4a8f19e7691bd6052232a.jpg"/><Relationship Id="rId40" Type="http://schemas.openxmlformats.org/officeDocument/2006/relationships/image" Target="../media/5f467d8859360a8a612ede06ddaa25fe.jpg"/><Relationship Id="rId41" Type="http://schemas.openxmlformats.org/officeDocument/2006/relationships/image" Target="../media/129b6ab0390384435307615be94a4675.jpg"/><Relationship Id="rId42" Type="http://schemas.openxmlformats.org/officeDocument/2006/relationships/image" Target="../media/38ed7681f1d582894af584fb0e4db9e8.jpg"/><Relationship Id="rId43" Type="http://schemas.openxmlformats.org/officeDocument/2006/relationships/image" Target="../media/fd701466a999a784ae470587cdaf86fc.jpg"/><Relationship Id="rId44" Type="http://schemas.openxmlformats.org/officeDocument/2006/relationships/image" Target="../media/b5fc979efd19c974e2e42b9bad26d47e.jpg"/><Relationship Id="rId45" Type="http://schemas.openxmlformats.org/officeDocument/2006/relationships/image" Target="../media/3b1fafe48388691ee90596bf03faadcf.jpg"/><Relationship Id="rId46" Type="http://schemas.openxmlformats.org/officeDocument/2006/relationships/image" Target="../media/e382c17c69f5e18e82540cf9579b72ca.jpg"/><Relationship Id="rId47" Type="http://schemas.openxmlformats.org/officeDocument/2006/relationships/image" Target="../media/ede6c2c45fe2ed5c53313d7c8eb976ff.jpg"/><Relationship Id="rId48" Type="http://schemas.openxmlformats.org/officeDocument/2006/relationships/image" Target="../media/bcdeb4e4d81c25a06ada7bbfba1d5426.jpg"/><Relationship Id="rId49" Type="http://schemas.openxmlformats.org/officeDocument/2006/relationships/image" Target="../media/1acaf87d179553246286bb26dc8682b4.jpg"/><Relationship Id="rId50" Type="http://schemas.openxmlformats.org/officeDocument/2006/relationships/image" Target="../media/922d052accc105e501451d10cb05e40f.jpg"/><Relationship Id="rId51" Type="http://schemas.openxmlformats.org/officeDocument/2006/relationships/image" Target="../media/739b8d1afa48b5401dbcf8e2ac849cda.jpg"/><Relationship Id="rId52" Type="http://schemas.openxmlformats.org/officeDocument/2006/relationships/image" Target="../media/40f6f2e1e658373e6403f2dafa9f0f7d.jpg"/><Relationship Id="rId53" Type="http://schemas.openxmlformats.org/officeDocument/2006/relationships/image" Target="../media/94d7bdb772aaf16889bdbeda5456412f.jpg"/><Relationship Id="rId54" Type="http://schemas.openxmlformats.org/officeDocument/2006/relationships/image" Target="../media/b4f3dcbf525c4f1ca8320460b75fcfa7.jpg"/><Relationship Id="rId55" Type="http://schemas.openxmlformats.org/officeDocument/2006/relationships/image" Target="../media/a245224b55b3a4820bf3798e7bb0a0c3.jpg"/><Relationship Id="rId56" Type="http://schemas.openxmlformats.org/officeDocument/2006/relationships/image" Target="../media/2125e2758f6cde29033b44082d89badf.jpg"/><Relationship Id="rId57" Type="http://schemas.openxmlformats.org/officeDocument/2006/relationships/image" Target="../media/cfb1daa7ce7fadf5bfcd50156516ace2.jpg"/><Relationship Id="rId58" Type="http://schemas.openxmlformats.org/officeDocument/2006/relationships/image" Target="../media/e0fb1b0c6848ac74f9c066f87f98921e.jpg"/><Relationship Id="rId59" Type="http://schemas.openxmlformats.org/officeDocument/2006/relationships/image" Target="../media/f66d68f611021284ef4a83b06e445f5b.jpg"/><Relationship Id="rId60" Type="http://schemas.openxmlformats.org/officeDocument/2006/relationships/image" Target="../media/f745beaca4b370b92fcbaeb4a4e17a6a.jpg"/><Relationship Id="rId61" Type="http://schemas.openxmlformats.org/officeDocument/2006/relationships/image" Target="../media/bf2f08d260f3cb8af7b36ed4bb766c6e.jpg"/><Relationship Id="rId62" Type="http://schemas.openxmlformats.org/officeDocument/2006/relationships/image" Target="../media/b7e2945e6378e9b9a23f9d0b0b8dfa46.jpg"/><Relationship Id="rId63" Type="http://schemas.openxmlformats.org/officeDocument/2006/relationships/image" Target="../media/2f2d4838e0cb43491f79e3e5e178f794.jpg"/><Relationship Id="rId64" Type="http://schemas.openxmlformats.org/officeDocument/2006/relationships/image" Target="../media/626f07f83da02a86d507d9efe87e36f2.jpg"/><Relationship Id="rId65" Type="http://schemas.openxmlformats.org/officeDocument/2006/relationships/image" Target="../media/487a69c7430d4b3519901d39d5a009ca.jpg"/><Relationship Id="rId66" Type="http://schemas.openxmlformats.org/officeDocument/2006/relationships/image" Target="../media/ac7f218a40564e057a7c2176c451f53b.jpg"/><Relationship Id="rId67" Type="http://schemas.openxmlformats.org/officeDocument/2006/relationships/image" Target="../media/b897fabb42765565734eabb29da9fc67.jpg"/><Relationship Id="rId68" Type="http://schemas.openxmlformats.org/officeDocument/2006/relationships/image" Target="../media/ab2af5440f72ca8aca616e096b7b3338.jpg"/><Relationship Id="rId69" Type="http://schemas.openxmlformats.org/officeDocument/2006/relationships/image" Target="../media/8d5efaa7fcba630d282db157b629ff51.jpg"/><Relationship Id="rId70" Type="http://schemas.openxmlformats.org/officeDocument/2006/relationships/image" Target="../media/ec1015be6e7db9e77cba65e7299ac6e5.jpg"/><Relationship Id="rId71" Type="http://schemas.openxmlformats.org/officeDocument/2006/relationships/image" Target="../media/0c6f6da8be56591e39e0139d9f56fb43.jpg"/><Relationship Id="rId72" Type="http://schemas.openxmlformats.org/officeDocument/2006/relationships/image" Target="../media/1931cce12eaa5268bfa9ff8a0c2b1ed3.jpg"/><Relationship Id="rId73" Type="http://schemas.openxmlformats.org/officeDocument/2006/relationships/image" Target="../media/1325ce605bbd8c01e1f02de10dfe6122.jpg"/><Relationship Id="rId74" Type="http://schemas.openxmlformats.org/officeDocument/2006/relationships/image" Target="../media/57a182eed7ecf2df7bdb621d29082e23.jpg"/><Relationship Id="rId75" Type="http://schemas.openxmlformats.org/officeDocument/2006/relationships/image" Target="../media/13e2f901c90c037d568d39b45aafe0e0.jpg"/><Relationship Id="rId76" Type="http://schemas.openxmlformats.org/officeDocument/2006/relationships/image" Target="../media/caa9f22b660684d026efb273cf0d94f1.jpg"/><Relationship Id="rId77" Type="http://schemas.openxmlformats.org/officeDocument/2006/relationships/image" Target="../media/031d728a961d250e9a6d8a68b145fbcd.jpg"/><Relationship Id="rId78" Type="http://schemas.openxmlformats.org/officeDocument/2006/relationships/image" Target="../media/bcefd100561c363c17a1a834793d89b8.jpg"/><Relationship Id="rId79" Type="http://schemas.openxmlformats.org/officeDocument/2006/relationships/image" Target="../media/255a36e51f1f7d6f4cf1de9476668d82.jpg"/><Relationship Id="rId80" Type="http://schemas.openxmlformats.org/officeDocument/2006/relationships/image" Target="../media/6b1e7cd56318e917cb1db62896706b33.jpg"/><Relationship Id="rId81" Type="http://schemas.openxmlformats.org/officeDocument/2006/relationships/image" Target="../media/3bf18a3e1e5174ffb6e850d93a1a2391.jpg"/><Relationship Id="rId82" Type="http://schemas.openxmlformats.org/officeDocument/2006/relationships/image" Target="../media/c8c03649868c451cf8d43e1148681565.jpg"/><Relationship Id="rId83" Type="http://schemas.openxmlformats.org/officeDocument/2006/relationships/image" Target="../media/6e13f73bd41986611642111ec8e54d01.jpg"/><Relationship Id="rId84" Type="http://schemas.openxmlformats.org/officeDocument/2006/relationships/image" Target="../media/e670b9aeca28feda2805de7ccf967280.jpg"/><Relationship Id="rId85" Type="http://schemas.openxmlformats.org/officeDocument/2006/relationships/image" Target="../media/a201f96ac1f05522e8b784764b289da6.jpg"/><Relationship Id="rId86" Type="http://schemas.openxmlformats.org/officeDocument/2006/relationships/image" Target="../media/567764a997fc9fdda6989369aa29c61b.jpg"/><Relationship Id="rId87" Type="http://schemas.openxmlformats.org/officeDocument/2006/relationships/image" Target="../media/3ac7a8c123dad9dcb7a80dc7a67264e4.jpg"/><Relationship Id="rId88" Type="http://schemas.openxmlformats.org/officeDocument/2006/relationships/image" Target="../media/3319f12da3548539942a0dc6c3c6d035.jpg"/><Relationship Id="rId89" Type="http://schemas.openxmlformats.org/officeDocument/2006/relationships/image" Target="../media/012fe337b94e2718fee617a76c03facf.jpg"/><Relationship Id="rId90" Type="http://schemas.openxmlformats.org/officeDocument/2006/relationships/image" Target="../media/68ac93e059b328ffdf1e33327d1f942b.jpg"/><Relationship Id="rId91" Type="http://schemas.openxmlformats.org/officeDocument/2006/relationships/image" Target="../media/435e8d23b859ca6e5806052dd278de19.jpg"/><Relationship Id="rId92" Type="http://schemas.openxmlformats.org/officeDocument/2006/relationships/image" Target="../media/1ee556c2808ae064aedf44cc8aaf654b.jpg"/><Relationship Id="rId93" Type="http://schemas.openxmlformats.org/officeDocument/2006/relationships/image" Target="../media/c057b2ebb279879da04442b336123451.jpg"/><Relationship Id="rId94" Type="http://schemas.openxmlformats.org/officeDocument/2006/relationships/image" Target="../media/e91390103dd6f8d824fa8808c1cf5572.jpg"/><Relationship Id="rId95" Type="http://schemas.openxmlformats.org/officeDocument/2006/relationships/image" Target="../media/0eab3c5783e33c3a5c9c9f43d94c5b71.jpg"/><Relationship Id="rId96" Type="http://schemas.openxmlformats.org/officeDocument/2006/relationships/image" Target="../media/cdbf18745a01e9fa2f2ff6a65888bcba.jpg"/><Relationship Id="rId97" Type="http://schemas.openxmlformats.org/officeDocument/2006/relationships/image" Target="../media/df77121c0cfa94634423227ce78f6c33.jpg"/><Relationship Id="rId98" Type="http://schemas.openxmlformats.org/officeDocument/2006/relationships/image" Target="../media/1ba6c848f6fa5044871741ccff35597e.jpg"/><Relationship Id="rId99" Type="http://schemas.openxmlformats.org/officeDocument/2006/relationships/image" Target="../media/1bb18c410608fa0ea8c57d5c49772b2c.jpg"/><Relationship Id="rId100" Type="http://schemas.openxmlformats.org/officeDocument/2006/relationships/image" Target="../media/654471a53188b8b62092e2a504be11a9.jpg"/><Relationship Id="rId101" Type="http://schemas.openxmlformats.org/officeDocument/2006/relationships/image" Target="../media/0615c013462f1ff6af478fde89ad7977.jpg"/><Relationship Id="rId102" Type="http://schemas.openxmlformats.org/officeDocument/2006/relationships/image" Target="../media/0de0061786a06ebe5500f22bbff7a933.jpg"/><Relationship Id="rId103" Type="http://schemas.openxmlformats.org/officeDocument/2006/relationships/image" Target="../media/41f14bc652a9898458e6cdba51713586.jpg"/><Relationship Id="rId104" Type="http://schemas.openxmlformats.org/officeDocument/2006/relationships/image" Target="../media/667e258758e8a512b3d9f5fc26d0d348.jpg"/><Relationship Id="rId105" Type="http://schemas.openxmlformats.org/officeDocument/2006/relationships/image" Target="../media/b5b141b75a69a2355f169e21071acbc6.jpg"/><Relationship Id="rId106" Type="http://schemas.openxmlformats.org/officeDocument/2006/relationships/image" Target="../media/3442e3f3ac2f3c512d62c817b44ac037.jpg"/><Relationship Id="rId107" Type="http://schemas.openxmlformats.org/officeDocument/2006/relationships/image" Target="../media/270078f7070ba86ecc0611ea788e30f4.jpg"/><Relationship Id="rId108" Type="http://schemas.openxmlformats.org/officeDocument/2006/relationships/image" Target="../media/2ca3d7895f22763df7de1f90af161851.jpg"/><Relationship Id="rId109" Type="http://schemas.openxmlformats.org/officeDocument/2006/relationships/image" Target="../media/85179702a5276eaa7b88d49c8d2cb0eb.jpg"/><Relationship Id="rId110" Type="http://schemas.openxmlformats.org/officeDocument/2006/relationships/image" Target="../media/be863382cbfbfebbc2d3d2de5608edc5.jpg"/><Relationship Id="rId111" Type="http://schemas.openxmlformats.org/officeDocument/2006/relationships/image" Target="../media/147435c9a311338ceb2ffaa76d650958.jpg"/><Relationship Id="rId112" Type="http://schemas.openxmlformats.org/officeDocument/2006/relationships/image" Target="../media/7046ea339b0b3a5f174070329ec52d3f.jpg"/><Relationship Id="rId113" Type="http://schemas.openxmlformats.org/officeDocument/2006/relationships/image" Target="../media/19c8fd29d71f3b8100f7f927ed19a652.jpg"/><Relationship Id="rId114" Type="http://schemas.openxmlformats.org/officeDocument/2006/relationships/image" Target="../media/6b870cb8c33e99c87ee6446ea73c73fa.jpg"/><Relationship Id="rId115" Type="http://schemas.openxmlformats.org/officeDocument/2006/relationships/image" Target="../media/e900a55c1acb8b800143ed043fcdc984.jpg"/><Relationship Id="rId116" Type="http://schemas.openxmlformats.org/officeDocument/2006/relationships/image" Target="../media/8d031e6ef0840044a51eb3ce07d0681a.jpg"/><Relationship Id="rId117" Type="http://schemas.openxmlformats.org/officeDocument/2006/relationships/image" Target="../media/7b49ef1e6bd06ccded03d9bc21c38073.jpg"/><Relationship Id="rId118" Type="http://schemas.openxmlformats.org/officeDocument/2006/relationships/image" Target="../media/9f4657b14a527ea245672d3ea6ffc636.jpg"/><Relationship Id="rId119" Type="http://schemas.openxmlformats.org/officeDocument/2006/relationships/image" Target="../media/9420ee1deebff08b4b5b497ddaa299a0.jpg"/><Relationship Id="rId120" Type="http://schemas.openxmlformats.org/officeDocument/2006/relationships/image" Target="../media/0bb1e2fcb4ad1f55210e14344dd92022.jpg"/><Relationship Id="rId121" Type="http://schemas.openxmlformats.org/officeDocument/2006/relationships/image" Target="../media/49e6d1f5825438e4d9b35cc994913bcb.jpg"/><Relationship Id="rId122" Type="http://schemas.openxmlformats.org/officeDocument/2006/relationships/image" Target="../media/17bf5dde5b5236b239711d1238be65bc.jpg"/><Relationship Id="rId123" Type="http://schemas.openxmlformats.org/officeDocument/2006/relationships/image" Target="../media/56290524221c46d42f73c3d73caf75f2.jpg"/><Relationship Id="rId124" Type="http://schemas.openxmlformats.org/officeDocument/2006/relationships/image" Target="../media/ecb80b8ca5af55c7d06b0e93dae63362.jpg"/><Relationship Id="rId125" Type="http://schemas.openxmlformats.org/officeDocument/2006/relationships/image" Target="../media/2dc544cb211c40ca8b8da8f789fa0dfd.jpg"/><Relationship Id="rId126" Type="http://schemas.openxmlformats.org/officeDocument/2006/relationships/image" Target="../media/9b3d56ddef1e603cf75a1e7239d200a4.jpg"/><Relationship Id="rId127" Type="http://schemas.openxmlformats.org/officeDocument/2006/relationships/image" Target="../media/395325448777d4800561d87a4b082984.jpg"/><Relationship Id="rId128" Type="http://schemas.openxmlformats.org/officeDocument/2006/relationships/image" Target="../media/2ac36789037011f55ca80deeb47e2f18.jpg"/><Relationship Id="rId129" Type="http://schemas.openxmlformats.org/officeDocument/2006/relationships/image" Target="../media/0811e7481972091bca8e54fd89486cf3.jpg"/><Relationship Id="rId130" Type="http://schemas.openxmlformats.org/officeDocument/2006/relationships/image" Target="../media/4c13e4ee3f16785af43b97dc8a36584d.jpg"/><Relationship Id="rId131" Type="http://schemas.openxmlformats.org/officeDocument/2006/relationships/image" Target="../media/5ccdcdfc7779a2bd68251bf4bad59fd5.jpg"/><Relationship Id="rId132" Type="http://schemas.openxmlformats.org/officeDocument/2006/relationships/image" Target="../media/b1d1ffd745cd824a539217ed7503702a.jpg"/><Relationship Id="rId133" Type="http://schemas.openxmlformats.org/officeDocument/2006/relationships/image" Target="../media/ad24f250880a475bafef3fae0df4c81c.jpg"/><Relationship Id="rId134" Type="http://schemas.openxmlformats.org/officeDocument/2006/relationships/image" Target="../media/e9a1263a468eb5cfc95cb1fa4078693f.jpg"/><Relationship Id="rId135" Type="http://schemas.openxmlformats.org/officeDocument/2006/relationships/image" Target="../media/bbe3a1f2cbd0d19d23f2aa0565e717d0.jpg"/><Relationship Id="rId136" Type="http://schemas.openxmlformats.org/officeDocument/2006/relationships/image" Target="../media/57956f2c647d12b284699a73ee887a37.jpg"/><Relationship Id="rId137" Type="http://schemas.openxmlformats.org/officeDocument/2006/relationships/image" Target="../media/bd9728bbad0f5e610ba3ad4c998482fc.jpg"/><Relationship Id="rId138" Type="http://schemas.openxmlformats.org/officeDocument/2006/relationships/image" Target="../media/9c1a4860672f9b641bf68fe8873bb3fd.jpg"/><Relationship Id="rId139" Type="http://schemas.openxmlformats.org/officeDocument/2006/relationships/image" Target="../media/26ae359d564acc3f14622bca58e477b4.jpg"/><Relationship Id="rId140" Type="http://schemas.openxmlformats.org/officeDocument/2006/relationships/image" Target="../media/d34255eb0b58d11e4261849f3cfcbdbd.jpg"/><Relationship Id="rId141" Type="http://schemas.openxmlformats.org/officeDocument/2006/relationships/image" Target="../media/a33fb27ea8404a88576c3b96aa99a5d2.jpg"/><Relationship Id="rId142" Type="http://schemas.openxmlformats.org/officeDocument/2006/relationships/image" Target="../media/7b40fc0b555d9bd37e28f3e508a4e490.jpg"/><Relationship Id="rId143" Type="http://schemas.openxmlformats.org/officeDocument/2006/relationships/image" Target="../media/492971feb83d19fe9e82ae671ce3cf12.jpg"/><Relationship Id="rId144" Type="http://schemas.openxmlformats.org/officeDocument/2006/relationships/image" Target="../media/095bdd27063ec57cf826599917ec0026.jpg"/><Relationship Id="rId145" Type="http://schemas.openxmlformats.org/officeDocument/2006/relationships/image" Target="../media/77535ed5e218310bc19d15faba9d6277.jpg"/><Relationship Id="rId146" Type="http://schemas.openxmlformats.org/officeDocument/2006/relationships/image" Target="../media/b014988558c465005b2fd47563ab1862.jpg"/><Relationship Id="rId147" Type="http://schemas.openxmlformats.org/officeDocument/2006/relationships/image" Target="../media/d3a265cfa5492d9f96e9f799c662d1b5.jpg"/><Relationship Id="rId148" Type="http://schemas.openxmlformats.org/officeDocument/2006/relationships/image" Target="../media/45f73b248c6e9bc4450d256f57c66382.jpg"/><Relationship Id="rId149" Type="http://schemas.openxmlformats.org/officeDocument/2006/relationships/image" Target="../media/be29bc52ecabee13d20025f541f8bd66.jpg"/><Relationship Id="rId150" Type="http://schemas.openxmlformats.org/officeDocument/2006/relationships/image" Target="../media/4765b36391d5abc43c282981e98ecf83.jpg"/><Relationship Id="rId151" Type="http://schemas.openxmlformats.org/officeDocument/2006/relationships/image" Target="../media/4f7fbf43095137b9fa777f804353d12e.jpg"/><Relationship Id="rId152" Type="http://schemas.openxmlformats.org/officeDocument/2006/relationships/image" Target="../media/48fb2143a404421e003a5e2c8b8aad0f.jpg"/><Relationship Id="rId153" Type="http://schemas.openxmlformats.org/officeDocument/2006/relationships/image" Target="../media/ac9fae9205a5915a6dcecee85853599d.jpg"/><Relationship Id="rId154" Type="http://schemas.openxmlformats.org/officeDocument/2006/relationships/image" Target="../media/2dc9abf231963a5f1ba8566cc9fecdc4.jpg"/><Relationship Id="rId155" Type="http://schemas.openxmlformats.org/officeDocument/2006/relationships/image" Target="../media/f76c56fbd33906d8edd3745de6edc648.jpg"/><Relationship Id="rId156" Type="http://schemas.openxmlformats.org/officeDocument/2006/relationships/image" Target="../media/c2f023d555b08db227d212f600fd4575.jpg"/><Relationship Id="rId157" Type="http://schemas.openxmlformats.org/officeDocument/2006/relationships/image" Target="../media/8c4e41f981371f35139d5257dfd52da9.jpg"/><Relationship Id="rId158" Type="http://schemas.openxmlformats.org/officeDocument/2006/relationships/image" Target="../media/f701e07e6e9960e5b97cba5741114cac.jpg"/><Relationship Id="rId159" Type="http://schemas.openxmlformats.org/officeDocument/2006/relationships/image" Target="../media/0cd82574d994cbface83e3971574d526.jpg"/><Relationship Id="rId160" Type="http://schemas.openxmlformats.org/officeDocument/2006/relationships/image" Target="../media/edc3bb10259c8b10efd0ba3b21c12055.jpg"/><Relationship Id="rId161" Type="http://schemas.openxmlformats.org/officeDocument/2006/relationships/image" Target="../media/9dcc7487efc1225e85867e6a03d16536.jpg"/><Relationship Id="rId162" Type="http://schemas.openxmlformats.org/officeDocument/2006/relationships/image" Target="../media/5e141c29dbc406312f703ff1cda9eca8.jpg"/><Relationship Id="rId163" Type="http://schemas.openxmlformats.org/officeDocument/2006/relationships/image" Target="../media/6f40bf3772c822ec2eab5937dd5b790a.jpg"/><Relationship Id="rId164" Type="http://schemas.openxmlformats.org/officeDocument/2006/relationships/image" Target="../media/93fe5074aaf90a058241ff57c63f0dfd.jpg"/><Relationship Id="rId165" Type="http://schemas.openxmlformats.org/officeDocument/2006/relationships/image" Target="../media/347c7e68049860a951c6260f6c8bd4fe.jpg"/><Relationship Id="rId166" Type="http://schemas.openxmlformats.org/officeDocument/2006/relationships/image" Target="../media/1315a47b79bde7c2da8531d957955751.jpg"/><Relationship Id="rId167" Type="http://schemas.openxmlformats.org/officeDocument/2006/relationships/image" Target="../media/32b9bcba6af1bf98ae444d3133951d43.jpg"/><Relationship Id="rId168" Type="http://schemas.openxmlformats.org/officeDocument/2006/relationships/image" Target="../media/a142b56645d85d66daa0d7d469e20006.jpg"/><Relationship Id="rId169" Type="http://schemas.openxmlformats.org/officeDocument/2006/relationships/image" Target="../media/2cb27fd8661dedff66d20d0d8acdc779.jpg"/><Relationship Id="rId170" Type="http://schemas.openxmlformats.org/officeDocument/2006/relationships/image" Target="../media/478edd341f203d59c037a14f0d6de177.jpg"/><Relationship Id="rId171" Type="http://schemas.openxmlformats.org/officeDocument/2006/relationships/image" Target="../media/c7ec5d64e03fa4bbe59fa113ead2ece7.jpg"/><Relationship Id="rId172" Type="http://schemas.openxmlformats.org/officeDocument/2006/relationships/image" Target="../media/3d1b2e05dd80d0e876b6ade90564aeb8.jpg"/><Relationship Id="rId173" Type="http://schemas.openxmlformats.org/officeDocument/2006/relationships/image" Target="../media/dc620922c997b2b5fb52c080f7af58fa.jpg"/><Relationship Id="rId174" Type="http://schemas.openxmlformats.org/officeDocument/2006/relationships/image" Target="../media/184aa25f76c7bac32460719e7839a265.jpg"/><Relationship Id="rId175" Type="http://schemas.openxmlformats.org/officeDocument/2006/relationships/image" Target="../media/4576d214fb3bf7627e78916a4fb6ee19.jpg"/><Relationship Id="rId176" Type="http://schemas.openxmlformats.org/officeDocument/2006/relationships/image" Target="../media/5eb45492e6760ed6644e73d4cac09021.jpg"/><Relationship Id="rId177" Type="http://schemas.openxmlformats.org/officeDocument/2006/relationships/image" Target="../media/abc45d52e0e724182d642014037b440d.jpg"/><Relationship Id="rId178" Type="http://schemas.openxmlformats.org/officeDocument/2006/relationships/image" Target="../media/1541d661f8c8dbced4f50a3f36ba20af.jpg"/><Relationship Id="rId179" Type="http://schemas.openxmlformats.org/officeDocument/2006/relationships/image" Target="../media/e35593f12384f67c71f85eec48fb6206.jpg"/><Relationship Id="rId180" Type="http://schemas.openxmlformats.org/officeDocument/2006/relationships/image" Target="../media/63d9de267d78e069a88c77503d8d4f13.jpg"/><Relationship Id="rId181" Type="http://schemas.openxmlformats.org/officeDocument/2006/relationships/image" Target="../media/6d5ce3741f087877c8b69ae735716fc9.jpg"/><Relationship Id="rId182" Type="http://schemas.openxmlformats.org/officeDocument/2006/relationships/image" Target="../media/76b989fa7e9c6ed98a6e5d09a3869fcc.jpg"/><Relationship Id="rId183" Type="http://schemas.openxmlformats.org/officeDocument/2006/relationships/image" Target="../media/ef74d7e0b85d70e5e3e3b96da91000a0.jpg"/><Relationship Id="rId184" Type="http://schemas.openxmlformats.org/officeDocument/2006/relationships/image" Target="../media/2428c5163a78d0cfa1f952b0413fc7a4.jpg"/><Relationship Id="rId185" Type="http://schemas.openxmlformats.org/officeDocument/2006/relationships/image" Target="../media/53e55762ff0bd3d27219dcbf23559c6d.jpg"/><Relationship Id="rId186" Type="http://schemas.openxmlformats.org/officeDocument/2006/relationships/image" Target="../media/f032257e31b6c629802e2ef793bef3bd.jpg"/><Relationship Id="rId187" Type="http://schemas.openxmlformats.org/officeDocument/2006/relationships/image" Target="../media/9e658d0bc873aefb0f91f372c2d23ca2.jpg"/><Relationship Id="rId188" Type="http://schemas.openxmlformats.org/officeDocument/2006/relationships/image" Target="../media/6303bd97de57fe2910a555a0fdd962f0.jpg"/><Relationship Id="rId189" Type="http://schemas.openxmlformats.org/officeDocument/2006/relationships/image" Target="../media/70c24bd5e3bb4cc1bae3358d6e7cdefc.jpg"/><Relationship Id="rId190" Type="http://schemas.openxmlformats.org/officeDocument/2006/relationships/image" Target="../media/672cea7f461585decb055946a5769677.jpg"/><Relationship Id="rId191" Type="http://schemas.openxmlformats.org/officeDocument/2006/relationships/image" Target="../media/1a6911d9156659569d0061fe084b52d8.jpg"/><Relationship Id="rId192" Type="http://schemas.openxmlformats.org/officeDocument/2006/relationships/image" Target="../media/1cd3eec4763b8b876685da213bbeb15c.jpg"/><Relationship Id="rId193" Type="http://schemas.openxmlformats.org/officeDocument/2006/relationships/image" Target="../media/419d2ba3ee6d516b45520e654a3bf247.jpg"/><Relationship Id="rId194" Type="http://schemas.openxmlformats.org/officeDocument/2006/relationships/image" Target="../media/d7864e02db83f70a8e38d1e4d41c580c.jpg"/><Relationship Id="rId195" Type="http://schemas.openxmlformats.org/officeDocument/2006/relationships/image" Target="../media/224166b10e23182446d0e36c74bfbb5d.jpg"/><Relationship Id="rId196" Type="http://schemas.openxmlformats.org/officeDocument/2006/relationships/image" Target="../media/e2a31ee7a096dfbda3102026ed9691a7.jpg"/><Relationship Id="rId197" Type="http://schemas.openxmlformats.org/officeDocument/2006/relationships/image" Target="../media/9af9cf71416f357d0f534334e2dafdde.jpg"/><Relationship Id="rId198" Type="http://schemas.openxmlformats.org/officeDocument/2006/relationships/image" Target="../media/fff5f16500e470a72268dea2a2e0044d.jpg"/><Relationship Id="rId199" Type="http://schemas.openxmlformats.org/officeDocument/2006/relationships/image" Target="../media/7a453cc93ca0807412cc378dd167bcb6.jpg"/><Relationship Id="rId200" Type="http://schemas.openxmlformats.org/officeDocument/2006/relationships/image" Target="../media/f7f8ed0a2e00a477f7f053c3cdbf4f1d.jpg"/><Relationship Id="rId201" Type="http://schemas.openxmlformats.org/officeDocument/2006/relationships/image" Target="../media/9c8824626e30546c3828432186ed5ba3.jpg"/><Relationship Id="rId202" Type="http://schemas.openxmlformats.org/officeDocument/2006/relationships/image" Target="../media/e5a0019b93ae5e211a6ebee479f1649f.jpg"/><Relationship Id="rId203" Type="http://schemas.openxmlformats.org/officeDocument/2006/relationships/image" Target="../media/abff1290471e3b152ed18aa0bd9fbff4.jpg"/><Relationship Id="rId204" Type="http://schemas.openxmlformats.org/officeDocument/2006/relationships/image" Target="../media/b805283cfec425ffc3081fe965a066cd.jpg"/><Relationship Id="rId205" Type="http://schemas.openxmlformats.org/officeDocument/2006/relationships/image" Target="../media/6fb00a52c3b02ae770870034d834f6b5.jpg"/><Relationship Id="rId206" Type="http://schemas.openxmlformats.org/officeDocument/2006/relationships/image" Target="../media/f3ea6e4e9828a4eeca72b7d7f6dbf22f.jpg"/><Relationship Id="rId207" Type="http://schemas.openxmlformats.org/officeDocument/2006/relationships/image" Target="../media/b57534b386acd003cd9fc13f1c926b84.jpg"/><Relationship Id="rId208" Type="http://schemas.openxmlformats.org/officeDocument/2006/relationships/image" Target="../media/b619fc8fc55e8c3101a8b4ba6968772f.jpg"/><Relationship Id="rId209" Type="http://schemas.openxmlformats.org/officeDocument/2006/relationships/image" Target="../media/356d86f181ee952b91d43708965dd158.jpg"/><Relationship Id="rId210" Type="http://schemas.openxmlformats.org/officeDocument/2006/relationships/image" Target="../media/2a4161f27e4a68199d16ded0da6ba39e.jpg"/><Relationship Id="rId211" Type="http://schemas.openxmlformats.org/officeDocument/2006/relationships/image" Target="../media/6cd95e4ccd75afd9852c4fe0ee24deaa.jpg"/><Relationship Id="rId212" Type="http://schemas.openxmlformats.org/officeDocument/2006/relationships/image" Target="../media/238871e0fffc739db80afde7618ab21a.jpg"/><Relationship Id="rId213" Type="http://schemas.openxmlformats.org/officeDocument/2006/relationships/image" Target="../media/98f6549eb42db9d91da2a6f53e09774f.jpg"/><Relationship Id="rId214" Type="http://schemas.openxmlformats.org/officeDocument/2006/relationships/image" Target="../media/2114ba55577d61c18f0d4f2cf4e2eb63.jpg"/><Relationship Id="rId215" Type="http://schemas.openxmlformats.org/officeDocument/2006/relationships/image" Target="../media/6ffba975dcc15ddb792c731dab3f40ec.jpg"/><Relationship Id="rId216" Type="http://schemas.openxmlformats.org/officeDocument/2006/relationships/image" Target="../media/7fa5e479e2391d54a4dca074ef4d1898.jpg"/><Relationship Id="rId217" Type="http://schemas.openxmlformats.org/officeDocument/2006/relationships/image" Target="../media/ff1d4272a939202dae2373ef0e399dd3.jpg"/><Relationship Id="rId218" Type="http://schemas.openxmlformats.org/officeDocument/2006/relationships/image" Target="../media/fe7a91fc9d4fbed8660805ed1735c32b.jpg"/><Relationship Id="rId219" Type="http://schemas.openxmlformats.org/officeDocument/2006/relationships/image" Target="../media/c1097a881b5d714317b1e6f2bed657ac.jpg"/><Relationship Id="rId220" Type="http://schemas.openxmlformats.org/officeDocument/2006/relationships/image" Target="../media/7ca6f31ff982fcf22494eb7ebf1ff33c.jpg"/><Relationship Id="rId221" Type="http://schemas.openxmlformats.org/officeDocument/2006/relationships/image" Target="../media/382cc25ac167d7046f5eaf4893b67bd2.jpg"/><Relationship Id="rId222" Type="http://schemas.openxmlformats.org/officeDocument/2006/relationships/image" Target="../media/370f5d5af2947dd44e5bb826c0c968b2.jpg"/><Relationship Id="rId223" Type="http://schemas.openxmlformats.org/officeDocument/2006/relationships/image" Target="../media/d846bb54b3560454a596c91c01b13d2d.jpg"/><Relationship Id="rId224" Type="http://schemas.openxmlformats.org/officeDocument/2006/relationships/image" Target="../media/6ed3aefabcb4b889183a29bec0290ec2.jpg"/><Relationship Id="rId225" Type="http://schemas.openxmlformats.org/officeDocument/2006/relationships/image" Target="../media/fbecee47f4d4996ea70aebb821c29d68.jpg"/><Relationship Id="rId226" Type="http://schemas.openxmlformats.org/officeDocument/2006/relationships/image" Target="../media/9869f695d7d1f0ae77af17b1c0c29859.jpg"/><Relationship Id="rId227" Type="http://schemas.openxmlformats.org/officeDocument/2006/relationships/image" Target="../media/16c4666476f94e91d19e720a9057c31d.jpg"/><Relationship Id="rId228" Type="http://schemas.openxmlformats.org/officeDocument/2006/relationships/image" Target="../media/45a3d7019588ac2e758e511bc5000bb8.jpg"/><Relationship Id="rId229" Type="http://schemas.openxmlformats.org/officeDocument/2006/relationships/image" Target="../media/be0d956df03f05bb1203d513a1a162a6.jpg"/><Relationship Id="rId230" Type="http://schemas.openxmlformats.org/officeDocument/2006/relationships/image" Target="../media/8ad497626869ae1c51d5b73d3d3c51f6.jpg"/><Relationship Id="rId231" Type="http://schemas.openxmlformats.org/officeDocument/2006/relationships/image" Target="../media/6869c8e60b7213220c8a49c1e0b860c2.jpg"/><Relationship Id="rId232" Type="http://schemas.openxmlformats.org/officeDocument/2006/relationships/image" Target="../media/934d9e6cd2f4ff0460c3c1c276afb429.jpg"/><Relationship Id="rId233" Type="http://schemas.openxmlformats.org/officeDocument/2006/relationships/image" Target="../media/cea21b37691a6f99746d419903bfcf17.jpg"/><Relationship Id="rId234" Type="http://schemas.openxmlformats.org/officeDocument/2006/relationships/image" Target="../media/fb76792070de6cc48ec959c2b94e1b7d.jpg"/><Relationship Id="rId235" Type="http://schemas.openxmlformats.org/officeDocument/2006/relationships/image" Target="../media/782d806111704b9f5a30689f6d362e8e.jpg"/><Relationship Id="rId236" Type="http://schemas.openxmlformats.org/officeDocument/2006/relationships/image" Target="../media/6d5ce3741f087877c8b69ae735716fc9.jpg"/><Relationship Id="rId237" Type="http://schemas.openxmlformats.org/officeDocument/2006/relationships/image" Target="../media/e5172268b5b2096e6a6d452a56e891d2.jpg"/><Relationship Id="rId238" Type="http://schemas.openxmlformats.org/officeDocument/2006/relationships/image" Target="../media/e7f77cb57b7c4eaeb0707a09528bcb66.jpg"/><Relationship Id="rId239" Type="http://schemas.openxmlformats.org/officeDocument/2006/relationships/image" Target="../media/35f48987f716168c0783cfce8fa85d1c.jpg"/><Relationship Id="rId240" Type="http://schemas.openxmlformats.org/officeDocument/2006/relationships/image" Target="../media/892c3168b2fb5585f73d58f9a0227442.jpg"/><Relationship Id="rId241" Type="http://schemas.openxmlformats.org/officeDocument/2006/relationships/image" Target="../media/53d49a421bd8d806c6b7d3bed6ce25bc.jpg"/><Relationship Id="rId242" Type="http://schemas.openxmlformats.org/officeDocument/2006/relationships/image" Target="../media/305f08c1bade264972deab7116ea52ff.jpg"/><Relationship Id="rId243" Type="http://schemas.openxmlformats.org/officeDocument/2006/relationships/image" Target="../media/c07f05386aa9c252889c90aa259c8f3c.jpg"/><Relationship Id="rId244" Type="http://schemas.openxmlformats.org/officeDocument/2006/relationships/image" Target="../media/9cfc75b143106851290194f52dd84dc8.jpg"/><Relationship Id="rId245" Type="http://schemas.openxmlformats.org/officeDocument/2006/relationships/image" Target="../media/66f9ecf27a83e9d42c1b3605e1ad7adc.jpg"/><Relationship Id="rId246" Type="http://schemas.openxmlformats.org/officeDocument/2006/relationships/image" Target="../media/5598ae516725d3f959296ebc5bb5ff4b.jpg"/><Relationship Id="rId247" Type="http://schemas.openxmlformats.org/officeDocument/2006/relationships/image" Target="../media/53acd6b299d4981a82c6c4512a73a6b6.jpg"/><Relationship Id="rId248" Type="http://schemas.openxmlformats.org/officeDocument/2006/relationships/image" Target="../media/a73b50594b6f7c8b71c4a22f1657405c.jpg"/><Relationship Id="rId249" Type="http://schemas.openxmlformats.org/officeDocument/2006/relationships/image" Target="../media/3cece67d9bf63ca62bbdb9349a08517b.jpg"/><Relationship Id="rId250" Type="http://schemas.openxmlformats.org/officeDocument/2006/relationships/image" Target="../media/1aa1daa5b87b4c4ccb97a27dc690e151.jpg"/><Relationship Id="rId251" Type="http://schemas.openxmlformats.org/officeDocument/2006/relationships/image" Target="../media/28018f38ad146cc0c1778fb1c6d950b6.jpg"/><Relationship Id="rId252" Type="http://schemas.openxmlformats.org/officeDocument/2006/relationships/image" Target="../media/1e852cbb5096aacb1598436265fa0307.jpg"/><Relationship Id="rId253" Type="http://schemas.openxmlformats.org/officeDocument/2006/relationships/image" Target="../media/a2128fa15f003c5d6133a22360c47adb.jpg"/><Relationship Id="rId254" Type="http://schemas.openxmlformats.org/officeDocument/2006/relationships/image" Target="../media/0580868a188260f1a3acce67d6be8488.jpg"/><Relationship Id="rId255" Type="http://schemas.openxmlformats.org/officeDocument/2006/relationships/image" Target="../media/08cabbedaca7e40c78932557f9b161af.jpg"/><Relationship Id="rId256" Type="http://schemas.openxmlformats.org/officeDocument/2006/relationships/image" Target="../media/3ea557cb58004b98a5927a21af3f185f.jpg"/><Relationship Id="rId257" Type="http://schemas.openxmlformats.org/officeDocument/2006/relationships/image" Target="../media/33453226d178b3f9ad6980ff20ffdbf4.jpg"/><Relationship Id="rId258" Type="http://schemas.openxmlformats.org/officeDocument/2006/relationships/image" Target="../media/bfb388fbab26585d19a97382ec046b97.jpg"/><Relationship Id="rId259" Type="http://schemas.openxmlformats.org/officeDocument/2006/relationships/image" Target="../media/01fd13863a7555de0cdbab4a85155518.jpg"/><Relationship Id="rId260" Type="http://schemas.openxmlformats.org/officeDocument/2006/relationships/image" Target="../media/84050752a66d0f9b817210450856b59e.jpg"/><Relationship Id="rId261" Type="http://schemas.openxmlformats.org/officeDocument/2006/relationships/image" Target="../media/a530fc0e8dd65a2246b1dd55f16f379d.jpg"/><Relationship Id="rId262" Type="http://schemas.openxmlformats.org/officeDocument/2006/relationships/image" Target="../media/6cf1dc69157d25828986d8594fe09c20.jpg"/><Relationship Id="rId263" Type="http://schemas.openxmlformats.org/officeDocument/2006/relationships/image" Target="../media/4ce014b6ad79f9eea2787218fb06f26b.jpg"/><Relationship Id="rId264" Type="http://schemas.openxmlformats.org/officeDocument/2006/relationships/image" Target="../media/62d9be3ceb456476d8039f63c1a815c9.jpg"/><Relationship Id="rId265" Type="http://schemas.openxmlformats.org/officeDocument/2006/relationships/image" Target="../media/54acdd8c05e170af85d034a9328ceb23.jpg"/><Relationship Id="rId266" Type="http://schemas.openxmlformats.org/officeDocument/2006/relationships/image" Target="../media/9eaac077f57758161811ff75ba941edb.jpg"/><Relationship Id="rId267" Type="http://schemas.openxmlformats.org/officeDocument/2006/relationships/image" Target="../media/3a78dbf5e7eb21231b629c54a0acdc90.jpg"/><Relationship Id="rId268" Type="http://schemas.openxmlformats.org/officeDocument/2006/relationships/image" Target="../media/ead57d60aff75b226025cbd69f1c9646.jpg"/><Relationship Id="rId269" Type="http://schemas.openxmlformats.org/officeDocument/2006/relationships/image" Target="../media/88622203cdf801d1b24cebd383126710.jpg"/><Relationship Id="rId270" Type="http://schemas.openxmlformats.org/officeDocument/2006/relationships/image" Target="../media/f573d75cb2fd6ccf8f52c7c893034ed2.jpg"/><Relationship Id="rId271" Type="http://schemas.openxmlformats.org/officeDocument/2006/relationships/image" Target="../media/932992b767590d16608edf29df28d3f9.jpg"/><Relationship Id="rId272" Type="http://schemas.openxmlformats.org/officeDocument/2006/relationships/image" Target="../media/2f7b35ea01e7aedbd44a5cc61053683a.jpg"/><Relationship Id="rId273" Type="http://schemas.openxmlformats.org/officeDocument/2006/relationships/image" Target="../media/4467e47f35b4e18a709584ac5a6683cc.jpg"/><Relationship Id="rId274" Type="http://schemas.openxmlformats.org/officeDocument/2006/relationships/image" Target="../media/6d46a12d8729db1afa89df6f97e9b279.jpg"/><Relationship Id="rId275" Type="http://schemas.openxmlformats.org/officeDocument/2006/relationships/image" Target="../media/5da9f61bb937cc8310380cb783bb632b.jpg"/><Relationship Id="rId276" Type="http://schemas.openxmlformats.org/officeDocument/2006/relationships/image" Target="../media/5952e646cbe0dd2a1d5c8d5ef0bbd244.jpg"/><Relationship Id="rId277" Type="http://schemas.openxmlformats.org/officeDocument/2006/relationships/image" Target="../media/fe2dc47728988e9ccbe363d7e678676b.jpg"/><Relationship Id="rId278" Type="http://schemas.openxmlformats.org/officeDocument/2006/relationships/image" Target="../media/9418acec68d1b172a0f6bf7b23cf4b42.jpg"/><Relationship Id="rId279" Type="http://schemas.openxmlformats.org/officeDocument/2006/relationships/image" Target="../media/3ae2564b3131fec15a4acc8779a8dc74.jpg"/><Relationship Id="rId280" Type="http://schemas.openxmlformats.org/officeDocument/2006/relationships/image" Target="../media/29e46580604fa5cc36084de81e3d0385.jpg"/><Relationship Id="rId281" Type="http://schemas.openxmlformats.org/officeDocument/2006/relationships/image" Target="../media/d5795ae32311aec68ad47dd1f87361cb.jpg"/><Relationship Id="rId282" Type="http://schemas.openxmlformats.org/officeDocument/2006/relationships/image" Target="../media/3194a88a845ae1c2f0c37b4529326ad3.jpg"/><Relationship Id="rId283" Type="http://schemas.openxmlformats.org/officeDocument/2006/relationships/image" Target="../media/68103f9efd20f61e1fa651c37739a730.jpg"/><Relationship Id="rId284" Type="http://schemas.openxmlformats.org/officeDocument/2006/relationships/image" Target="../media/a98166f9b730d8820f3a42fbc0567be3.jpg"/><Relationship Id="rId285" Type="http://schemas.openxmlformats.org/officeDocument/2006/relationships/image" Target="../media/9a68b048591782e7f6d160fe5bf3cd30.jpg"/><Relationship Id="rId286" Type="http://schemas.openxmlformats.org/officeDocument/2006/relationships/image" Target="../media/0820d87a1941a73b59177851c3a97b2f.jpg"/><Relationship Id="rId287" Type="http://schemas.openxmlformats.org/officeDocument/2006/relationships/image" Target="../media/1037068e21fe32190766e71bdacdab79.jpg"/><Relationship Id="rId288" Type="http://schemas.openxmlformats.org/officeDocument/2006/relationships/image" Target="../media/f887e6a13646e1d6595d8055e676e424.jpg"/><Relationship Id="rId289" Type="http://schemas.openxmlformats.org/officeDocument/2006/relationships/image" Target="../media/6d5ce3741f087877c8b69ae735716fc9.jpg"/><Relationship Id="rId290" Type="http://schemas.openxmlformats.org/officeDocument/2006/relationships/image" Target="../media/8a0581c8bd0f7d065d4b8bda3cd17582.jpg"/><Relationship Id="rId291" Type="http://schemas.openxmlformats.org/officeDocument/2006/relationships/image" Target="../media/50fcbea4328810014b39d06e6afa9aeb.jpg"/><Relationship Id="rId292" Type="http://schemas.openxmlformats.org/officeDocument/2006/relationships/image" Target="../media/f4d394c4a99301fd0edfd1960ca3b0c1.jpg"/><Relationship Id="rId293" Type="http://schemas.openxmlformats.org/officeDocument/2006/relationships/image" Target="../media/fe0994e361cad96094906c9a724d65a6.jpg"/><Relationship Id="rId294" Type="http://schemas.openxmlformats.org/officeDocument/2006/relationships/image" Target="../media/b835dc25951cde89f51ddb3380cd0415.jpg"/><Relationship Id="rId295" Type="http://schemas.openxmlformats.org/officeDocument/2006/relationships/image" Target="../media/0448ecdd720151e581163e6c92e7d89d.jpg"/><Relationship Id="rId296" Type="http://schemas.openxmlformats.org/officeDocument/2006/relationships/image" Target="../media/da922386ac79b8992dff1ff0d7ec8485.jpg"/><Relationship Id="rId297" Type="http://schemas.openxmlformats.org/officeDocument/2006/relationships/image" Target="../media/5110c18ead3926ddc1657f5255be2ce9.jpg"/><Relationship Id="rId298" Type="http://schemas.openxmlformats.org/officeDocument/2006/relationships/image" Target="../media/6531ce143ba37a95ab6a684fb1ef0863.jpg"/><Relationship Id="rId299" Type="http://schemas.openxmlformats.org/officeDocument/2006/relationships/image" Target="../media/9745ba10ea1fabdb600792cb8780e9d6.jpg"/><Relationship Id="rId300" Type="http://schemas.openxmlformats.org/officeDocument/2006/relationships/image" Target="../media/f4ff596058e239d9427e7021387efddb.jpg"/><Relationship Id="rId301" Type="http://schemas.openxmlformats.org/officeDocument/2006/relationships/image" Target="../media/da8dd9ed527d68bacdf88b63741ae065.jpg"/><Relationship Id="rId302" Type="http://schemas.openxmlformats.org/officeDocument/2006/relationships/image" Target="../media/85da6322e0961924a494a34388703f2f.jpg"/><Relationship Id="rId303" Type="http://schemas.openxmlformats.org/officeDocument/2006/relationships/image" Target="../media/f86752d83aaeaac0934b7ab2030953e6.jpg"/><Relationship Id="rId304" Type="http://schemas.openxmlformats.org/officeDocument/2006/relationships/image" Target="../media/09c681a3b8989a3c2baacc8fd0f84a02.jpg"/><Relationship Id="rId305" Type="http://schemas.openxmlformats.org/officeDocument/2006/relationships/image" Target="../media/521a2160996604cec9237d55f4d9d6d7.jpg"/><Relationship Id="rId306" Type="http://schemas.openxmlformats.org/officeDocument/2006/relationships/image" Target="../media/86ff2fc42e1ffe588223c41eae548a6e.jpg"/><Relationship Id="rId307" Type="http://schemas.openxmlformats.org/officeDocument/2006/relationships/image" Target="../media/48c3167baa0aa8d1a3ee204260aa61ac.jpg"/><Relationship Id="rId308" Type="http://schemas.openxmlformats.org/officeDocument/2006/relationships/image" Target="../media/cb01c4cd34cd2129b9593e887957a041.jpg"/><Relationship Id="rId309" Type="http://schemas.openxmlformats.org/officeDocument/2006/relationships/image" Target="../media/db821711a345e2669995f9dad5defc16.jpg"/><Relationship Id="rId310" Type="http://schemas.openxmlformats.org/officeDocument/2006/relationships/image" Target="../media/4e77d8bd249575008ee6d3082308b025.jpg"/><Relationship Id="rId311" Type="http://schemas.openxmlformats.org/officeDocument/2006/relationships/image" Target="../media/35cb6a70e8aec6e79283de153d9a8cf0.jpg"/><Relationship Id="rId312" Type="http://schemas.openxmlformats.org/officeDocument/2006/relationships/image" Target="../media/4da3e873f2a5e16455c4b87ba9409aea.jpg"/><Relationship Id="rId313" Type="http://schemas.openxmlformats.org/officeDocument/2006/relationships/image" Target="../media/932ec9859af7dbc4bbe1fcc1471b597d.jpg"/><Relationship Id="rId314" Type="http://schemas.openxmlformats.org/officeDocument/2006/relationships/image" Target="../media/9993a7066a647a23ad5a61055d7d69ec.jpg"/><Relationship Id="rId315" Type="http://schemas.openxmlformats.org/officeDocument/2006/relationships/image" Target="../media/0c2a6cfe8aac8b939203fe4e7dd817ed.jpg"/><Relationship Id="rId316" Type="http://schemas.openxmlformats.org/officeDocument/2006/relationships/image" Target="../media/4897821414a56c83975f9d8a9796be79.jpg"/><Relationship Id="rId317" Type="http://schemas.openxmlformats.org/officeDocument/2006/relationships/image" Target="../media/9cf9b190ccc7d2923f595f25981844e5.jpg"/><Relationship Id="rId318" Type="http://schemas.openxmlformats.org/officeDocument/2006/relationships/image" Target="../media/952be9d1d8515b0bb7577294d4e07f84.jpg"/><Relationship Id="rId319" Type="http://schemas.openxmlformats.org/officeDocument/2006/relationships/image" Target="../media/1bef02ee702addd7592161a2079ccf8b.jpg"/><Relationship Id="rId320" Type="http://schemas.openxmlformats.org/officeDocument/2006/relationships/image" Target="../media/642719036bd65355c19accedd284e5b5.jpg"/><Relationship Id="rId321" Type="http://schemas.openxmlformats.org/officeDocument/2006/relationships/image" Target="../media/3cee8e79839599a419e9db15b9b8b359.jpg"/><Relationship Id="rId322" Type="http://schemas.openxmlformats.org/officeDocument/2006/relationships/image" Target="../media/e5f03d366be516d3d1e2ac8144bc2659.jpg"/><Relationship Id="rId323" Type="http://schemas.openxmlformats.org/officeDocument/2006/relationships/image" Target="../media/ef5d71f3db86dab5c3c06b8dff297963.jpg"/><Relationship Id="rId324" Type="http://schemas.openxmlformats.org/officeDocument/2006/relationships/image" Target="../media/e7e6161b6b08166a57894f992759b9c5.jpg"/><Relationship Id="rId325" Type="http://schemas.openxmlformats.org/officeDocument/2006/relationships/image" Target="../media/9e4dd10b6c64249840c983f1b25054ad.jpg"/><Relationship Id="rId326" Type="http://schemas.openxmlformats.org/officeDocument/2006/relationships/image" Target="../media/611766a06e548958a674085923cedcfd.jpg"/><Relationship Id="rId327" Type="http://schemas.openxmlformats.org/officeDocument/2006/relationships/image" Target="../media/5049a8e3af6901f85966c55f877111d3.jpg"/><Relationship Id="rId328" Type="http://schemas.openxmlformats.org/officeDocument/2006/relationships/image" Target="../media/286066c3b23db0580b7bbf0b04a2db5b.jpg"/><Relationship Id="rId329" Type="http://schemas.openxmlformats.org/officeDocument/2006/relationships/image" Target="../media/56cf579a3a574a2f67d171891a63a9f0.jpg"/><Relationship Id="rId330" Type="http://schemas.openxmlformats.org/officeDocument/2006/relationships/image" Target="../media/c6343c75d006aca9da3cb875f1fac144.jpg"/><Relationship Id="rId331" Type="http://schemas.openxmlformats.org/officeDocument/2006/relationships/image" Target="../media/6d5ce3741f087877c8b69ae735716fc9.jpg"/><Relationship Id="rId332" Type="http://schemas.openxmlformats.org/officeDocument/2006/relationships/image" Target="../media/6d5ce3741f087877c8b69ae735716fc9.jpg"/><Relationship Id="rId333" Type="http://schemas.openxmlformats.org/officeDocument/2006/relationships/image" Target="../media/6efdfc039526b64180475c3579d8978d.jpg"/><Relationship Id="rId334" Type="http://schemas.openxmlformats.org/officeDocument/2006/relationships/image" Target="../media/0ebc2c22a457f33cd9a3c5ba039a0d30.jpg"/><Relationship Id="rId335" Type="http://schemas.openxmlformats.org/officeDocument/2006/relationships/image" Target="../media/ed0421f0da8cc812198db6a522e1b6be.jpg"/><Relationship Id="rId336" Type="http://schemas.openxmlformats.org/officeDocument/2006/relationships/image" Target="../media/802eb7a37ddada902f2ce5c3fcb4681f.jpg"/><Relationship Id="rId337" Type="http://schemas.openxmlformats.org/officeDocument/2006/relationships/image" Target="../media/9c4f6fb68a6c18822a0e1d96c27bb2b4.jpg"/><Relationship Id="rId338" Type="http://schemas.openxmlformats.org/officeDocument/2006/relationships/image" Target="../media/e0f03866918571b8fa657baf4aeec41b.jpg"/><Relationship Id="rId339" Type="http://schemas.openxmlformats.org/officeDocument/2006/relationships/image" Target="../media/62a417203fee18786c191f3f1e3fc109.jpg"/><Relationship Id="rId340" Type="http://schemas.openxmlformats.org/officeDocument/2006/relationships/image" Target="../media/4dbaa6704f444ecc0e904484ddb7d8c6.jpg"/><Relationship Id="rId341" Type="http://schemas.openxmlformats.org/officeDocument/2006/relationships/image" Target="../media/9cd3d8e855e0d634ef06c60f7483f177.jpg"/><Relationship Id="rId342" Type="http://schemas.openxmlformats.org/officeDocument/2006/relationships/image" Target="../media/783dcbd65ad6c7997fe834c302eec3f4.jpg"/><Relationship Id="rId343" Type="http://schemas.openxmlformats.org/officeDocument/2006/relationships/image" Target="../media/dec437e5eb971025f2f7b89ff9a12bfd.jpg"/><Relationship Id="rId344" Type="http://schemas.openxmlformats.org/officeDocument/2006/relationships/image" Target="../media/23f4e5b771e5608c55e7e3484e8db9b8.jpg"/><Relationship Id="rId345" Type="http://schemas.openxmlformats.org/officeDocument/2006/relationships/image" Target="../media/066059d7324d448fb1e5a84043ebde6d.jpg"/><Relationship Id="rId346" Type="http://schemas.openxmlformats.org/officeDocument/2006/relationships/image" Target="../media/62b42eef333a32f92f13a37d14b41e7b.jpg"/><Relationship Id="rId347" Type="http://schemas.openxmlformats.org/officeDocument/2006/relationships/image" Target="../media/146d8b1ef331fc7f4c3363956f882e0a.jpg"/><Relationship Id="rId348" Type="http://schemas.openxmlformats.org/officeDocument/2006/relationships/image" Target="../media/4c061b4408cf7c669f703e1c39458a70.jpg"/><Relationship Id="rId349" Type="http://schemas.openxmlformats.org/officeDocument/2006/relationships/image" Target="../media/b04e076bbab80e29f2723fb811d421b4.jpg"/><Relationship Id="rId350" Type="http://schemas.openxmlformats.org/officeDocument/2006/relationships/image" Target="../media/5c3c76ce64a30d0fe9f2079ba65abee4.jpg"/><Relationship Id="rId351" Type="http://schemas.openxmlformats.org/officeDocument/2006/relationships/image" Target="../media/71c7fa8300c72553c4d275fff6264eee.jpg"/><Relationship Id="rId352" Type="http://schemas.openxmlformats.org/officeDocument/2006/relationships/image" Target="../media/761833393e4c26c49479e35cd6fe4840.jpg"/><Relationship Id="rId353" Type="http://schemas.openxmlformats.org/officeDocument/2006/relationships/image" Target="../media/d76913efaedae51f7e274bd85c808cba.jpg"/><Relationship Id="rId354" Type="http://schemas.openxmlformats.org/officeDocument/2006/relationships/image" Target="../media/da97b3400af6e4f45e026fbed0cc7b5d.jpg"/><Relationship Id="rId355" Type="http://schemas.openxmlformats.org/officeDocument/2006/relationships/image" Target="../media/be26eea282197f79093b16f2357c3b58.jpg"/><Relationship Id="rId356" Type="http://schemas.openxmlformats.org/officeDocument/2006/relationships/image" Target="../media/c783d30b434357708367203cdf2a280f.jpg"/><Relationship Id="rId357" Type="http://schemas.openxmlformats.org/officeDocument/2006/relationships/image" Target="../media/14ac932a7b0727829ab41ce52365b4e7.jpg"/><Relationship Id="rId358" Type="http://schemas.openxmlformats.org/officeDocument/2006/relationships/image" Target="../media/14eb54cd33b1aa7f8dd741b444f5599c.jpg"/><Relationship Id="rId359" Type="http://schemas.openxmlformats.org/officeDocument/2006/relationships/image" Target="../media/998a35b3fdae58986bee37b9d2cdace8.jpg"/><Relationship Id="rId360" Type="http://schemas.openxmlformats.org/officeDocument/2006/relationships/image" Target="../media/36ed31afebf0e01cb9b30038b794ef92.jpg"/><Relationship Id="rId361" Type="http://schemas.openxmlformats.org/officeDocument/2006/relationships/image" Target="../media/2cd2fbaa102969cc90cb1e421dbe98a7.jpg"/><Relationship Id="rId362" Type="http://schemas.openxmlformats.org/officeDocument/2006/relationships/image" Target="../media/34c0d431ab0adad45536d18d56f9531d.jpg"/><Relationship Id="rId363" Type="http://schemas.openxmlformats.org/officeDocument/2006/relationships/image" Target="../media/78b6df362b6846263dcba0d8c61cedda.jpg"/><Relationship Id="rId364" Type="http://schemas.openxmlformats.org/officeDocument/2006/relationships/image" Target="../media/48fb00bd59b6121a9bd2c5fce85b1814.jpg"/><Relationship Id="rId365" Type="http://schemas.openxmlformats.org/officeDocument/2006/relationships/image" Target="../media/a38db8865870660cf467afb1dd956ebe.jpg"/><Relationship Id="rId366" Type="http://schemas.openxmlformats.org/officeDocument/2006/relationships/image" Target="../media/034989337c7dea0222659e856c7c3eb0.jpg"/><Relationship Id="rId367" Type="http://schemas.openxmlformats.org/officeDocument/2006/relationships/image" Target="../media/26b073ad14d931cc9122dca0ebfba694.jpg"/><Relationship Id="rId368" Type="http://schemas.openxmlformats.org/officeDocument/2006/relationships/image" Target="../media/b8c2a526dbe5e4dafa015bbcbffaf262.jpg"/><Relationship Id="rId369" Type="http://schemas.openxmlformats.org/officeDocument/2006/relationships/image" Target="../media/43f2bf3c8773deae9f11afdc8617d915.jpg"/><Relationship Id="rId370" Type="http://schemas.openxmlformats.org/officeDocument/2006/relationships/image" Target="../media/f5099ecc1c61e8a78ef2cbe500cf7cfd.jpg"/><Relationship Id="rId371" Type="http://schemas.openxmlformats.org/officeDocument/2006/relationships/image" Target="../media/0b44fbda4beff37e5acd51265682e4d8.jpg"/><Relationship Id="rId372" Type="http://schemas.openxmlformats.org/officeDocument/2006/relationships/image" Target="../media/6bc44d74b14f0807b0455c16a7e4e9a1.jpg"/><Relationship Id="rId373" Type="http://schemas.openxmlformats.org/officeDocument/2006/relationships/image" Target="../media/5ed36d3a8d3f724c742a0aaebc45d2bb.jpg"/><Relationship Id="rId374" Type="http://schemas.openxmlformats.org/officeDocument/2006/relationships/image" Target="../media/57d2d4349eaf092fce2430b0d5f3c7de.jpg"/><Relationship Id="rId375" Type="http://schemas.openxmlformats.org/officeDocument/2006/relationships/image" Target="../media/9bf983f4d3d86420f009cdd279fd5560.jpg"/><Relationship Id="rId376" Type="http://schemas.openxmlformats.org/officeDocument/2006/relationships/image" Target="../media/0d881266664dc576b66a84f252c1ff1e.jpg"/><Relationship Id="rId377" Type="http://schemas.openxmlformats.org/officeDocument/2006/relationships/image" Target="../media/87aa72cd01b37ab0b0a19c614dadc2f6.jpg"/><Relationship Id="rId378" Type="http://schemas.openxmlformats.org/officeDocument/2006/relationships/image" Target="../media/5ed62837a524e94d945f670ccb2b197f.jpg"/><Relationship Id="rId379" Type="http://schemas.openxmlformats.org/officeDocument/2006/relationships/image" Target="../media/18ce4f8fa526dce1ca3f263acb4f1559.jpg"/><Relationship Id="rId380" Type="http://schemas.openxmlformats.org/officeDocument/2006/relationships/image" Target="../media/4739986130e00451404e4fc4c205c759.jpg"/><Relationship Id="rId381" Type="http://schemas.openxmlformats.org/officeDocument/2006/relationships/image" Target="../media/71df3025f8a4277c6838f5a69e36ac74.jpg"/><Relationship Id="rId382" Type="http://schemas.openxmlformats.org/officeDocument/2006/relationships/image" Target="../media/13f0ee93081714b5d80067938ded7b9b.jpg"/><Relationship Id="rId383" Type="http://schemas.openxmlformats.org/officeDocument/2006/relationships/image" Target="../media/90251b25479517ef826f32c41c059c96.jpg"/><Relationship Id="rId384" Type="http://schemas.openxmlformats.org/officeDocument/2006/relationships/image" Target="../media/deb8df2f3b9e04e550fe80842397fcb0.jpg"/><Relationship Id="rId385" Type="http://schemas.openxmlformats.org/officeDocument/2006/relationships/image" Target="../media/c0cf0ea9356a2cbd9eb3873b039ca556.jpg"/><Relationship Id="rId386" Type="http://schemas.openxmlformats.org/officeDocument/2006/relationships/image" Target="../media/741143ec220d5b656df546ff0aa67165.jpg"/><Relationship Id="rId387" Type="http://schemas.openxmlformats.org/officeDocument/2006/relationships/image" Target="../media/18cf475a4f2ec1e6202cc593efc91950.jpg"/><Relationship Id="rId388" Type="http://schemas.openxmlformats.org/officeDocument/2006/relationships/image" Target="../media/3cdecdc8780e330c1e672d27c8d9df36.jpg"/><Relationship Id="rId389" Type="http://schemas.openxmlformats.org/officeDocument/2006/relationships/image" Target="../media/220db226b49197b448b17735a2fd2145.jpg"/><Relationship Id="rId390" Type="http://schemas.openxmlformats.org/officeDocument/2006/relationships/image" Target="../media/14b61124e14bbba848fcf9c7121cf100.jpg"/><Relationship Id="rId391" Type="http://schemas.openxmlformats.org/officeDocument/2006/relationships/image" Target="../media/b031ae306210ae5e806e9f047653ba30.jpg"/><Relationship Id="rId392" Type="http://schemas.openxmlformats.org/officeDocument/2006/relationships/image" Target="../media/30251798b0dca1b6518cd6ca91e8b856.jpg"/><Relationship Id="rId393" Type="http://schemas.openxmlformats.org/officeDocument/2006/relationships/image" Target="../media/bd23e0b63680c93bc21136c687b84541.jpg"/><Relationship Id="rId394" Type="http://schemas.openxmlformats.org/officeDocument/2006/relationships/image" Target="../media/47a9e99984d4c3456c6097e96834922d.jpg"/><Relationship Id="rId395" Type="http://schemas.openxmlformats.org/officeDocument/2006/relationships/image" Target="../media/954829690ece614e90e0bdb86f402910.jpg"/><Relationship Id="rId396" Type="http://schemas.openxmlformats.org/officeDocument/2006/relationships/image" Target="../media/44074bcec873e6e6dea73c0b87491af2.jpg"/><Relationship Id="rId397" Type="http://schemas.openxmlformats.org/officeDocument/2006/relationships/image" Target="../media/6e2ebcb7cad0f83e8637d4b1fe79350f.jpg"/><Relationship Id="rId398" Type="http://schemas.openxmlformats.org/officeDocument/2006/relationships/image" Target="../media/b85afecdb5f271f248f26d3c07ebd682.jpg"/><Relationship Id="rId399" Type="http://schemas.openxmlformats.org/officeDocument/2006/relationships/image" Target="../media/c97dc4d2ed4af2a7de4d9cf2415af0cd.jpg"/><Relationship Id="rId400" Type="http://schemas.openxmlformats.org/officeDocument/2006/relationships/image" Target="../media/a8021350b9384254012c1ff6da5b76dc.jpg"/><Relationship Id="rId401" Type="http://schemas.openxmlformats.org/officeDocument/2006/relationships/image" Target="../media/daca10daf7aa06310e250f8ea9a63a6b.jpg"/><Relationship Id="rId402" Type="http://schemas.openxmlformats.org/officeDocument/2006/relationships/image" Target="../media/465b165d385fdb25c3f6120b1babc708.jpg"/><Relationship Id="rId403" Type="http://schemas.openxmlformats.org/officeDocument/2006/relationships/image" Target="../media/8920575f0f62c09710233da16213ac72.jpg"/><Relationship Id="rId404" Type="http://schemas.openxmlformats.org/officeDocument/2006/relationships/image" Target="../media/f3a7f73898457491ef6f75dd9b26310f.jpg"/><Relationship Id="rId405" Type="http://schemas.openxmlformats.org/officeDocument/2006/relationships/image" Target="../media/bb2f82d91c38839ef5e01865815d90a3.jpg"/><Relationship Id="rId406" Type="http://schemas.openxmlformats.org/officeDocument/2006/relationships/image" Target="../media/6fa585ed542c7c111bdd07e3800e0840.jpg"/><Relationship Id="rId407" Type="http://schemas.openxmlformats.org/officeDocument/2006/relationships/image" Target="../media/52994441b2b1679a4fb3195d595d8d07.jpg"/><Relationship Id="rId408" Type="http://schemas.openxmlformats.org/officeDocument/2006/relationships/image" Target="../media/8b1e53fed7e83d82b6e905ebf7cd8598.jpg"/><Relationship Id="rId409" Type="http://schemas.openxmlformats.org/officeDocument/2006/relationships/image" Target="../media/c070d9bc4b4345f0729ce3c8542463ee.jpg"/><Relationship Id="rId410" Type="http://schemas.openxmlformats.org/officeDocument/2006/relationships/image" Target="../media/d02bd93a46fa94cffb24fe8f30a6869b.jpg"/><Relationship Id="rId411" Type="http://schemas.openxmlformats.org/officeDocument/2006/relationships/image" Target="../media/2da6e12a238f2a8fac34bfab0cb4aab8.jpg"/><Relationship Id="rId412" Type="http://schemas.openxmlformats.org/officeDocument/2006/relationships/image" Target="../media/eacbdad4583381bd8f78d14d1d88327b.jpg"/><Relationship Id="rId413" Type="http://schemas.openxmlformats.org/officeDocument/2006/relationships/image" Target="../media/d7c5cfa258d5e419f998bc621f5762b7.jpg"/><Relationship Id="rId414" Type="http://schemas.openxmlformats.org/officeDocument/2006/relationships/image" Target="../media/19febf65cdc7777983ee75560113ddb6.jpg"/><Relationship Id="rId415" Type="http://schemas.openxmlformats.org/officeDocument/2006/relationships/image" Target="../media/cbb7a0771a679e960f5332611e7a2518.jpg"/><Relationship Id="rId416" Type="http://schemas.openxmlformats.org/officeDocument/2006/relationships/image" Target="../media/1324ab0011ed022fbf61a1e187ad4e05.jpg"/><Relationship Id="rId417" Type="http://schemas.openxmlformats.org/officeDocument/2006/relationships/image" Target="../media/a2bcf05855838844ebde49df6a84dd30.jpg"/><Relationship Id="rId418" Type="http://schemas.openxmlformats.org/officeDocument/2006/relationships/image" Target="../media/7336a6c3903ddfcd0711d946704dc871.jpg"/><Relationship Id="rId419" Type="http://schemas.openxmlformats.org/officeDocument/2006/relationships/image" Target="../media/f0ebd05e198d7c903fa76e3f04cad253.jpg"/><Relationship Id="rId420" Type="http://schemas.openxmlformats.org/officeDocument/2006/relationships/image" Target="../media/53d931b023a263b47a424e3d8ede4b77.jpg"/><Relationship Id="rId421" Type="http://schemas.openxmlformats.org/officeDocument/2006/relationships/image" Target="../media/989ec2ed0ee64f092d38ebdfd65c4519.jpg"/><Relationship Id="rId422" Type="http://schemas.openxmlformats.org/officeDocument/2006/relationships/image" Target="../media/fdecf5f2711dc8d105312157a2b98a44.jpg"/><Relationship Id="rId423" Type="http://schemas.openxmlformats.org/officeDocument/2006/relationships/image" Target="../media/c5aec1c837953898d6ac38fd82058467.jpg"/><Relationship Id="rId424" Type="http://schemas.openxmlformats.org/officeDocument/2006/relationships/image" Target="../media/5d0e2370848dff42a906bb3ed5f7c67c.jpg"/><Relationship Id="rId425" Type="http://schemas.openxmlformats.org/officeDocument/2006/relationships/image" Target="../media/152f705d0011d6046ed34875cde71721.jpg"/><Relationship Id="rId426" Type="http://schemas.openxmlformats.org/officeDocument/2006/relationships/image" Target="../media/f03afb0ea68ba0220d63b5e30a26ac7a.jpg"/><Relationship Id="rId427" Type="http://schemas.openxmlformats.org/officeDocument/2006/relationships/image" Target="../media/37c491e0b294497b28035620fbe1aa85.jpg"/><Relationship Id="rId428" Type="http://schemas.openxmlformats.org/officeDocument/2006/relationships/image" Target="../media/e79f30dab74c9642c5afc34075b20038.jpg"/><Relationship Id="rId429" Type="http://schemas.openxmlformats.org/officeDocument/2006/relationships/image" Target="../media/6d5ce3741f087877c8b69ae735716fc9.jpg"/><Relationship Id="rId430" Type="http://schemas.openxmlformats.org/officeDocument/2006/relationships/image" Target="../media/6d5ce3741f087877c8b69ae735716fc9.jpg"/><Relationship Id="rId431" Type="http://schemas.openxmlformats.org/officeDocument/2006/relationships/image" Target="../media/a0ba30ae9893ca28c26ebbc4da544b8b.jpg"/><Relationship Id="rId432" Type="http://schemas.openxmlformats.org/officeDocument/2006/relationships/image" Target="../media/7d0c3bd8e467ccfdc444c47537d6ab15.jpg"/><Relationship Id="rId433" Type="http://schemas.openxmlformats.org/officeDocument/2006/relationships/image" Target="../media/4d85a4d9768c1311fc86ce2960328123.jpg"/><Relationship Id="rId434" Type="http://schemas.openxmlformats.org/officeDocument/2006/relationships/image" Target="../media/f1ff51aba2c8bca36b7076c9fda2e8bc.jpg"/><Relationship Id="rId435" Type="http://schemas.openxmlformats.org/officeDocument/2006/relationships/image" Target="../media/dfd2bca602b0e0962a117d26cbc5d7c4.jpg"/><Relationship Id="rId436" Type="http://schemas.openxmlformats.org/officeDocument/2006/relationships/image" Target="../media/87b4ed19d761b404f2f7dfa3e491d7ac.jpg"/><Relationship Id="rId437" Type="http://schemas.openxmlformats.org/officeDocument/2006/relationships/image" Target="../media/144f00c2f3d2cb8cf480b4827d9d2ed0.jpg"/><Relationship Id="rId438" Type="http://schemas.openxmlformats.org/officeDocument/2006/relationships/image" Target="../media/406830e8e21f179cdaf86217eada17fe.jpg"/><Relationship Id="rId439" Type="http://schemas.openxmlformats.org/officeDocument/2006/relationships/image" Target="../media/4274252c02a1db3431d8794d5ac676e6.jpg"/><Relationship Id="rId440" Type="http://schemas.openxmlformats.org/officeDocument/2006/relationships/image" Target="../media/162643923353413cd999e8db46db2efa.jpg"/><Relationship Id="rId441" Type="http://schemas.openxmlformats.org/officeDocument/2006/relationships/image" Target="../media/ef575957aea8ad75bf8fa7fd1c18e38a.jpg"/><Relationship Id="rId442" Type="http://schemas.openxmlformats.org/officeDocument/2006/relationships/image" Target="../media/46c099f0cc0433141ffa0d17f3cb43d2.jpg"/><Relationship Id="rId443" Type="http://schemas.openxmlformats.org/officeDocument/2006/relationships/image" Target="../media/e2267e8ac8a1303015df3dd858475d37.jpg"/><Relationship Id="rId444" Type="http://schemas.openxmlformats.org/officeDocument/2006/relationships/image" Target="../media/b8e652fe97d4ccb0af8158fa36d4d414.jpg"/><Relationship Id="rId445" Type="http://schemas.openxmlformats.org/officeDocument/2006/relationships/image" Target="../media/288d871f2f7d85478f7728f33b3bd7d5.jpg"/><Relationship Id="rId446" Type="http://schemas.openxmlformats.org/officeDocument/2006/relationships/image" Target="../media/90acb9ce7716f8ee3fab4f5b564f43ec.jpg"/><Relationship Id="rId447" Type="http://schemas.openxmlformats.org/officeDocument/2006/relationships/image" Target="../media/712a8911c86c3a8f699d74f1791c80cb.jpg"/><Relationship Id="rId448" Type="http://schemas.openxmlformats.org/officeDocument/2006/relationships/image" Target="../media/986ae22c0a2fad522ec59d78ce9abade.jpg"/><Relationship Id="rId449" Type="http://schemas.openxmlformats.org/officeDocument/2006/relationships/image" Target="../media/1e02df4955f4b5a9f01b4661fe2fd667.jpg"/><Relationship Id="rId450" Type="http://schemas.openxmlformats.org/officeDocument/2006/relationships/image" Target="../media/238102b8e286e3dedb2fb4efe0725676.jpg"/><Relationship Id="rId451" Type="http://schemas.openxmlformats.org/officeDocument/2006/relationships/image" Target="../media/68cc0c2f36549c73f741e086891362cc.jpg"/><Relationship Id="rId452" Type="http://schemas.openxmlformats.org/officeDocument/2006/relationships/image" Target="../media/de37534dd68e3f597908e582235759fa.jpg"/><Relationship Id="rId453" Type="http://schemas.openxmlformats.org/officeDocument/2006/relationships/image" Target="../media/4b5641a90427ecb2744b583292fbd1f6.jpg"/><Relationship Id="rId454" Type="http://schemas.openxmlformats.org/officeDocument/2006/relationships/image" Target="../media/e20a280a6a63460bb1e5ca1df7995c2b.jpg"/><Relationship Id="rId455" Type="http://schemas.openxmlformats.org/officeDocument/2006/relationships/image" Target="../media/f8d513727d99a6f591d28d43fcebd270.jpg"/><Relationship Id="rId456" Type="http://schemas.openxmlformats.org/officeDocument/2006/relationships/image" Target="../media/d2f6753dffe75c39e0c4faf78717135f.jpg"/><Relationship Id="rId457" Type="http://schemas.openxmlformats.org/officeDocument/2006/relationships/image" Target="../media/736f454719e7f4950a862d692793243b.jpg"/><Relationship Id="rId458" Type="http://schemas.openxmlformats.org/officeDocument/2006/relationships/image" Target="../media/4785f129b774f2e335dcf098e68a4ec7.jpg"/><Relationship Id="rId459" Type="http://schemas.openxmlformats.org/officeDocument/2006/relationships/image" Target="../media/c84dfb6fb4c2b09d4cdaf644e2f1f56d.jpg"/><Relationship Id="rId460" Type="http://schemas.openxmlformats.org/officeDocument/2006/relationships/image" Target="../media/2e7191dc7a708cd89028f1f5c0d5ecdd.jpg"/><Relationship Id="rId461" Type="http://schemas.openxmlformats.org/officeDocument/2006/relationships/image" Target="../media/0ce88dc08efb217f82d8f898a883130a.jpg"/><Relationship Id="rId462" Type="http://schemas.openxmlformats.org/officeDocument/2006/relationships/image" Target="../media/818f46f449d583bfd3b14a0ad665c826.jpg"/><Relationship Id="rId463" Type="http://schemas.openxmlformats.org/officeDocument/2006/relationships/image" Target="../media/8ca68cb92175eaf8499722eb51f8dd6d.jpg"/><Relationship Id="rId464" Type="http://schemas.openxmlformats.org/officeDocument/2006/relationships/image" Target="../media/acfa56890f7dd6431869033a773638e4.jpg"/><Relationship Id="rId465" Type="http://schemas.openxmlformats.org/officeDocument/2006/relationships/image" Target="../media/d818b8f7360dd95875b2ed889df14554.jpg"/><Relationship Id="rId466" Type="http://schemas.openxmlformats.org/officeDocument/2006/relationships/image" Target="../media/7309280c91f8dce24ca920eabaecea82.jpg"/><Relationship Id="rId467" Type="http://schemas.openxmlformats.org/officeDocument/2006/relationships/image" Target="../media/ee8c4ff62d11492376ca2f8522dad2ab.jpg"/><Relationship Id="rId468" Type="http://schemas.openxmlformats.org/officeDocument/2006/relationships/image" Target="../media/6e42c1d58e47c947adc917561f91f919.jpg"/><Relationship Id="rId469" Type="http://schemas.openxmlformats.org/officeDocument/2006/relationships/image" Target="../media/eb37f96dfb79f627e9b243ef12b02e76.jpg"/><Relationship Id="rId470" Type="http://schemas.openxmlformats.org/officeDocument/2006/relationships/image" Target="../media/b0734a5cd5e68f52101988fd8f1c9ed7.jpg"/><Relationship Id="rId471" Type="http://schemas.openxmlformats.org/officeDocument/2006/relationships/image" Target="../media/30cd0da094c586a01f7ac51c6a7754d8.jpg"/><Relationship Id="rId472" Type="http://schemas.openxmlformats.org/officeDocument/2006/relationships/image" Target="../media/18f373858bb3d744a2941f7ff5dc699a.jpg"/><Relationship Id="rId473" Type="http://schemas.openxmlformats.org/officeDocument/2006/relationships/image" Target="../media/6f7df7d138c512971cb9a4edcc87cf14.jpg"/><Relationship Id="rId474" Type="http://schemas.openxmlformats.org/officeDocument/2006/relationships/image" Target="../media/d53873242301427daac48e8b82042ca3.jpg"/><Relationship Id="rId475" Type="http://schemas.openxmlformats.org/officeDocument/2006/relationships/image" Target="../media/0a1284da910c49d491c1fde0a37e626d.jpg"/><Relationship Id="rId476" Type="http://schemas.openxmlformats.org/officeDocument/2006/relationships/image" Target="../media/244fd799ddd441fd4daacb2b70d8944a.jpg"/><Relationship Id="rId477" Type="http://schemas.openxmlformats.org/officeDocument/2006/relationships/image" Target="../media/9c162bf4e032f89ef99d4312b6a77192.jpg"/><Relationship Id="rId478" Type="http://schemas.openxmlformats.org/officeDocument/2006/relationships/image" Target="../media/41fb3f2ffc99e8b380f37f042de17dc1.jpg"/><Relationship Id="rId479" Type="http://schemas.openxmlformats.org/officeDocument/2006/relationships/image" Target="../media/655016784602938dc1ed741e6b1bb3be.jpg"/><Relationship Id="rId480" Type="http://schemas.openxmlformats.org/officeDocument/2006/relationships/image" Target="../media/4ed6fdc021c3dde7427645a0d81a1f70.jpg"/><Relationship Id="rId481" Type="http://schemas.openxmlformats.org/officeDocument/2006/relationships/image" Target="../media/ecaa69ece6cb06499fa9170ef9ed00ea.jpg"/><Relationship Id="rId482" Type="http://schemas.openxmlformats.org/officeDocument/2006/relationships/image" Target="../media/2722d759696e37024825c48eac34477a.jpg"/><Relationship Id="rId483" Type="http://schemas.openxmlformats.org/officeDocument/2006/relationships/image" Target="../media/74caacc19158c52c7a60f0824db45132.jpg"/><Relationship Id="rId484" Type="http://schemas.openxmlformats.org/officeDocument/2006/relationships/image" Target="../media/486d47d4ac7ae3bb352ce6a742b0f637.jpg"/><Relationship Id="rId485" Type="http://schemas.openxmlformats.org/officeDocument/2006/relationships/image" Target="../media/fb044204d520e616a9b4adb2a0bdf472.jpg"/><Relationship Id="rId486" Type="http://schemas.openxmlformats.org/officeDocument/2006/relationships/image" Target="../media/374390b9906714755101dd2c3ebc0423.jpg"/><Relationship Id="rId487" Type="http://schemas.openxmlformats.org/officeDocument/2006/relationships/image" Target="../media/230e84e22f7ce2205e7caf8002798cad.jpg"/><Relationship Id="rId488" Type="http://schemas.openxmlformats.org/officeDocument/2006/relationships/image" Target="../media/85f6ddc758af92dfee6593b8a0962e4f.jpg"/><Relationship Id="rId489" Type="http://schemas.openxmlformats.org/officeDocument/2006/relationships/image" Target="../media/031653c6e5eaf7690c90f1a113684e4a.jpg"/><Relationship Id="rId490" Type="http://schemas.openxmlformats.org/officeDocument/2006/relationships/image" Target="../media/1d71417dab93f5959097980a4bc74338.jpg"/><Relationship Id="rId491" Type="http://schemas.openxmlformats.org/officeDocument/2006/relationships/image" Target="../media/12475eecb8e5c214b3b5a237b348948c.jpg"/><Relationship Id="rId492" Type="http://schemas.openxmlformats.org/officeDocument/2006/relationships/image" Target="../media/fd2bddc24ac07ea0d616c87d70c3aa7d.jpg"/><Relationship Id="rId493" Type="http://schemas.openxmlformats.org/officeDocument/2006/relationships/image" Target="../media/a92a008402c03da9707fb87d2ffdb50a.jpg"/><Relationship Id="rId494" Type="http://schemas.openxmlformats.org/officeDocument/2006/relationships/image" Target="../media/601cfd5f9a99169322d4c11838e7bcee.jpg"/><Relationship Id="rId495" Type="http://schemas.openxmlformats.org/officeDocument/2006/relationships/image" Target="../media/12bdc64b131a4b0109c7789f101c5270.jpg"/><Relationship Id="rId496" Type="http://schemas.openxmlformats.org/officeDocument/2006/relationships/image" Target="../media/b11bbdf1ff4bb0034afc07905e35d0ec.jpg"/><Relationship Id="rId497" Type="http://schemas.openxmlformats.org/officeDocument/2006/relationships/image" Target="../media/e717c432026c8b47f4815f3e841635fe.jpg"/><Relationship Id="rId498" Type="http://schemas.openxmlformats.org/officeDocument/2006/relationships/image" Target="../media/b0af42a3927e1df4423a9a14d62ab3be.jpg"/><Relationship Id="rId499" Type="http://schemas.openxmlformats.org/officeDocument/2006/relationships/image" Target="../media/10aec439a4c87d82925563cde0fa272d.jpg"/><Relationship Id="rId500" Type="http://schemas.openxmlformats.org/officeDocument/2006/relationships/image" Target="../media/31b444d454d08206149ee3c4eedc2e9d.jpg"/><Relationship Id="rId501" Type="http://schemas.openxmlformats.org/officeDocument/2006/relationships/image" Target="../media/3d1744a0b36a53647a58f691e5c7faa8.jpg"/><Relationship Id="rId502" Type="http://schemas.openxmlformats.org/officeDocument/2006/relationships/image" Target="../media/e78d7960620d79a1dc0466f9cf8b78af.jpg"/><Relationship Id="rId503" Type="http://schemas.openxmlformats.org/officeDocument/2006/relationships/image" Target="../media/7b2afeeba1743921588381aa72332db9.jpg"/><Relationship Id="rId504" Type="http://schemas.openxmlformats.org/officeDocument/2006/relationships/image" Target="../media/5903ead60d9f85dbd5810be9a8e67029.jpg"/><Relationship Id="rId505" Type="http://schemas.openxmlformats.org/officeDocument/2006/relationships/image" Target="../media/e8f7396311e2f2c66c2b319026b025f9.jpg"/><Relationship Id="rId506" Type="http://schemas.openxmlformats.org/officeDocument/2006/relationships/image" Target="../media/0ca12130a6b0b75d07ed80ea9213aad8.jpg"/><Relationship Id="rId507" Type="http://schemas.openxmlformats.org/officeDocument/2006/relationships/image" Target="../media/6166771458be7bcbea284399d1e8f2fa.jpg"/><Relationship Id="rId508" Type="http://schemas.openxmlformats.org/officeDocument/2006/relationships/image" Target="../media/23dc050d06a090d7b8e7793d8ce98f9f.jpg"/><Relationship Id="rId509" Type="http://schemas.openxmlformats.org/officeDocument/2006/relationships/image" Target="../media/6e518c73197c80c07503d5eab603b2b3.jpg"/><Relationship Id="rId510" Type="http://schemas.openxmlformats.org/officeDocument/2006/relationships/image" Target="../media/d79ff8cc1fcdc893de5dd9026bc18e4e.jpg"/><Relationship Id="rId511" Type="http://schemas.openxmlformats.org/officeDocument/2006/relationships/image" Target="../media/4bc91bf0eb2a6984287c3d927fba0dac.jpg"/><Relationship Id="rId512" Type="http://schemas.openxmlformats.org/officeDocument/2006/relationships/image" Target="../media/6974612ae4bc09877e4beb845e5cbe6c.jpg"/><Relationship Id="rId513" Type="http://schemas.openxmlformats.org/officeDocument/2006/relationships/image" Target="../media/fc25ca2e4e933b854ed9d9158959ee25.jpg"/><Relationship Id="rId514" Type="http://schemas.openxmlformats.org/officeDocument/2006/relationships/image" Target="../media/77543776fa2030afd2b68c36ce305eb2.jpg"/><Relationship Id="rId515" Type="http://schemas.openxmlformats.org/officeDocument/2006/relationships/image" Target="../media/14ab96e34544418cccb1f4a1be238315.jpg"/><Relationship Id="rId516" Type="http://schemas.openxmlformats.org/officeDocument/2006/relationships/image" Target="../media/d98bbb085aa7c55128012410eb40a290.jpg"/><Relationship Id="rId517" Type="http://schemas.openxmlformats.org/officeDocument/2006/relationships/image" Target="../media/1b5555d70ef4c85c020ce108bea4cd5d.jpg"/><Relationship Id="rId518" Type="http://schemas.openxmlformats.org/officeDocument/2006/relationships/image" Target="../media/8e9ce81f6b4eff7cec8c59da25aecc20.jpg"/><Relationship Id="rId519" Type="http://schemas.openxmlformats.org/officeDocument/2006/relationships/image" Target="../media/7d00f6764d95a04e8b82baacb1cff373.jpg"/><Relationship Id="rId520" Type="http://schemas.openxmlformats.org/officeDocument/2006/relationships/image" Target="../media/7f0eafb957025a62f1e3d0b77f6c80bd.jpg"/><Relationship Id="rId521" Type="http://schemas.openxmlformats.org/officeDocument/2006/relationships/image" Target="../media/59ec52220cc3498aa7398371a72846ad.jpg"/><Relationship Id="rId522" Type="http://schemas.openxmlformats.org/officeDocument/2006/relationships/image" Target="../media/7c738184a99c76a58b695f0ad3031abf.jpg"/><Relationship Id="rId523" Type="http://schemas.openxmlformats.org/officeDocument/2006/relationships/image" Target="../media/a6eb0b913ab64ccf061b0d564479d1bf.jpg"/><Relationship Id="rId524" Type="http://schemas.openxmlformats.org/officeDocument/2006/relationships/image" Target="../media/6bcd0fbe3e17d2ef986f220f08ed7e62.jpg"/><Relationship Id="rId525" Type="http://schemas.openxmlformats.org/officeDocument/2006/relationships/image" Target="../media/cd5a2e423d57e5059597930caef0217a.jpg"/><Relationship Id="rId526" Type="http://schemas.openxmlformats.org/officeDocument/2006/relationships/image" Target="../media/f436f29399cdfafa8c82859674fe0030.jpg"/><Relationship Id="rId527" Type="http://schemas.openxmlformats.org/officeDocument/2006/relationships/image" Target="../media/049d56e75d85b2e0a6d97d89d3326f29.jpg"/><Relationship Id="rId528" Type="http://schemas.openxmlformats.org/officeDocument/2006/relationships/image" Target="../media/3661e8a0be8f905128d1b594fd7adfbd.jpg"/><Relationship Id="rId529" Type="http://schemas.openxmlformats.org/officeDocument/2006/relationships/image" Target="../media/bdc1df3a475c7c0d8100971e2feda31a.jpg"/><Relationship Id="rId530" Type="http://schemas.openxmlformats.org/officeDocument/2006/relationships/image" Target="../media/dbc6b5f3b30bce999ce1914b4b787895.jpg"/><Relationship Id="rId531" Type="http://schemas.openxmlformats.org/officeDocument/2006/relationships/image" Target="../media/e298481fa89dbd7375a0c1d53ebc76e6.jpg"/><Relationship Id="rId532" Type="http://schemas.openxmlformats.org/officeDocument/2006/relationships/image" Target="../media/a7d3d53da43aa8cc9ce31d2244ec1ed2.jpg"/><Relationship Id="rId533" Type="http://schemas.openxmlformats.org/officeDocument/2006/relationships/image" Target="../media/f883f200f30c2192310074c19f63a4c9.jpg"/><Relationship Id="rId534" Type="http://schemas.openxmlformats.org/officeDocument/2006/relationships/image" Target="../media/ffc2c6a36bfef14ea38e9088c0b58e95.jpg"/><Relationship Id="rId535" Type="http://schemas.openxmlformats.org/officeDocument/2006/relationships/image" Target="../media/69213c881bac4a9f733e12c4686dbfa8.jpg"/><Relationship Id="rId536" Type="http://schemas.openxmlformats.org/officeDocument/2006/relationships/image" Target="../media/61662a16073a22cd7980dea3a1256f42.jpg"/><Relationship Id="rId537" Type="http://schemas.openxmlformats.org/officeDocument/2006/relationships/image" Target="../media/35172ef714c7f0b378a0119604c17c42.jpg"/><Relationship Id="rId538" Type="http://schemas.openxmlformats.org/officeDocument/2006/relationships/image" Target="../media/6b0feb450feab71d6ab9196b3f84af8c.jpg"/><Relationship Id="rId539" Type="http://schemas.openxmlformats.org/officeDocument/2006/relationships/image" Target="../media/bd3972430a72dbb85c4ecfea83f92a5f.jpg"/><Relationship Id="rId540" Type="http://schemas.openxmlformats.org/officeDocument/2006/relationships/image" Target="../media/511c6c4ed5b6c36d36ba994b1bfd0aed.jpg"/><Relationship Id="rId541" Type="http://schemas.openxmlformats.org/officeDocument/2006/relationships/image" Target="../media/0b2fc23a72d93690b6b61c5a39a7572d.jpg"/><Relationship Id="rId542" Type="http://schemas.openxmlformats.org/officeDocument/2006/relationships/image" Target="../media/718bc8790b312d661ec4a34e89706bd7.jpg"/><Relationship Id="rId543" Type="http://schemas.openxmlformats.org/officeDocument/2006/relationships/image" Target="../media/6627f1446b741ebcf05b96847160c704.jpg"/><Relationship Id="rId544" Type="http://schemas.openxmlformats.org/officeDocument/2006/relationships/image" Target="../media/a627a69ec5ac6cace16fa81d84e04989.jpg"/><Relationship Id="rId545" Type="http://schemas.openxmlformats.org/officeDocument/2006/relationships/image" Target="../media/4fec17dea1926ddf2692e4cc93da4e89.jpg"/><Relationship Id="rId546" Type="http://schemas.openxmlformats.org/officeDocument/2006/relationships/image" Target="../media/2c0fc2413df867b576ef62a5436eb436.jpg"/><Relationship Id="rId547" Type="http://schemas.openxmlformats.org/officeDocument/2006/relationships/image" Target="../media/df6d2cbd415388b91b605c08529086ba.jpg"/><Relationship Id="rId548" Type="http://schemas.openxmlformats.org/officeDocument/2006/relationships/image" Target="../media/af52a7f412137054a1d76f35b05aa055.jpg"/><Relationship Id="rId549" Type="http://schemas.openxmlformats.org/officeDocument/2006/relationships/image" Target="../media/39862e1840ee4aa7d2163f409898f33d.jpg"/><Relationship Id="rId550" Type="http://schemas.openxmlformats.org/officeDocument/2006/relationships/image" Target="../media/5126fe53c6742f7ab45894483fc66e3c.jpg"/><Relationship Id="rId551" Type="http://schemas.openxmlformats.org/officeDocument/2006/relationships/image" Target="../media/2fcd3feb163695f0eca359ef43cafd16.jpg"/><Relationship Id="rId552" Type="http://schemas.openxmlformats.org/officeDocument/2006/relationships/image" Target="../media/6b88b0dc0674d1efa552f2afc3bce14d.jpg"/><Relationship Id="rId553" Type="http://schemas.openxmlformats.org/officeDocument/2006/relationships/image" Target="../media/5b8b4fc921ba942c3a63163254326e73.jpg"/><Relationship Id="rId554" Type="http://schemas.openxmlformats.org/officeDocument/2006/relationships/image" Target="../media/aa59a53f7f5d8690555ea77466f03205.jpg"/><Relationship Id="rId555" Type="http://schemas.openxmlformats.org/officeDocument/2006/relationships/image" Target="../media/b7f8fcc1c7ce841dacf26d04e479bee1.jpg"/><Relationship Id="rId556" Type="http://schemas.openxmlformats.org/officeDocument/2006/relationships/image" Target="../media/d20838eea844b4c4ff4a5f0c82d80623.jpg"/><Relationship Id="rId557" Type="http://schemas.openxmlformats.org/officeDocument/2006/relationships/image" Target="../media/6604dd205f9a4846ff080036e0165bfb.jpg"/><Relationship Id="rId558" Type="http://schemas.openxmlformats.org/officeDocument/2006/relationships/image" Target="../media/6c0a8b8b8f4081f6a44711d9796c154b.jpg"/><Relationship Id="rId559" Type="http://schemas.openxmlformats.org/officeDocument/2006/relationships/image" Target="../media/0fedea8f9f795e0d921a4e1e940ad604.jpg"/><Relationship Id="rId560" Type="http://schemas.openxmlformats.org/officeDocument/2006/relationships/image" Target="../media/1438694d08c0e506bb69473f84ceda32.jpg"/><Relationship Id="rId561" Type="http://schemas.openxmlformats.org/officeDocument/2006/relationships/image" Target="../media/260b500310c4e69dfca9581747623b9d.jpg"/><Relationship Id="rId562" Type="http://schemas.openxmlformats.org/officeDocument/2006/relationships/image" Target="../media/84e21ca096b8c98d4c17710acb558bd7.jpg"/><Relationship Id="rId563" Type="http://schemas.openxmlformats.org/officeDocument/2006/relationships/image" Target="../media/8f98c2a7b12fbb4c3cccdfb60a794f18.jpg"/><Relationship Id="rId564" Type="http://schemas.openxmlformats.org/officeDocument/2006/relationships/image" Target="../media/756266926bd5326c00902dbed123127a.jpg"/><Relationship Id="rId565" Type="http://schemas.openxmlformats.org/officeDocument/2006/relationships/image" Target="../media/6121921edd3e49010c8ce591fc68fe43.jpg"/><Relationship Id="rId566" Type="http://schemas.openxmlformats.org/officeDocument/2006/relationships/image" Target="../media/9ef805d91de23b2eb6ee6fa9e01f43bb.jpg"/><Relationship Id="rId567" Type="http://schemas.openxmlformats.org/officeDocument/2006/relationships/image" Target="../media/80802d178e6ec90eace3bd13e32b973f.jpg"/><Relationship Id="rId568" Type="http://schemas.openxmlformats.org/officeDocument/2006/relationships/image" Target="../media/0fb55afb011d930535786f0c4f3b37fc.jpg"/><Relationship Id="rId569" Type="http://schemas.openxmlformats.org/officeDocument/2006/relationships/image" Target="../media/178ba803603566cd1c50cb1d1450126c.jpg"/><Relationship Id="rId570" Type="http://schemas.openxmlformats.org/officeDocument/2006/relationships/image" Target="../media/84679cda5c626d6c8a4da1a08386902c.jpg"/><Relationship Id="rId571" Type="http://schemas.openxmlformats.org/officeDocument/2006/relationships/image" Target="../media/cef3cfbdd4c6df11cddd78c13a7511ae.jpg"/><Relationship Id="rId572" Type="http://schemas.openxmlformats.org/officeDocument/2006/relationships/image" Target="../media/052b21b2f5e2abe2506b8e8f764c940a.jpg"/><Relationship Id="rId573" Type="http://schemas.openxmlformats.org/officeDocument/2006/relationships/image" Target="../media/89c6f62749b6716bd4c9a82cabdf6cab.jpg"/><Relationship Id="rId574" Type="http://schemas.openxmlformats.org/officeDocument/2006/relationships/image" Target="../media/e909433abd432434e3d1459fb32fb02e.jpg"/><Relationship Id="rId575" Type="http://schemas.openxmlformats.org/officeDocument/2006/relationships/image" Target="../media/5a0da340b65691e64631b07c64065505.jpg"/><Relationship Id="rId576" Type="http://schemas.openxmlformats.org/officeDocument/2006/relationships/image" Target="../media/553c722b1da60a1faa578657fa6ef7a4.jpg"/><Relationship Id="rId577" Type="http://schemas.openxmlformats.org/officeDocument/2006/relationships/image" Target="../media/c76618505317fcbe3518f1cb5b2806c9.jpg"/><Relationship Id="rId578" Type="http://schemas.openxmlformats.org/officeDocument/2006/relationships/image" Target="../media/f45c7e943fbe13252f73eb9068901171.jpg"/><Relationship Id="rId579" Type="http://schemas.openxmlformats.org/officeDocument/2006/relationships/image" Target="../media/1296607e044962c2b29af787887a4b28.jpg"/><Relationship Id="rId580" Type="http://schemas.openxmlformats.org/officeDocument/2006/relationships/image" Target="../media/4e0ac5a982d24d3436cf64dfef51f2bd.jpg"/><Relationship Id="rId581" Type="http://schemas.openxmlformats.org/officeDocument/2006/relationships/image" Target="../media/da98a2288fcf631df437226300669961.jpg"/><Relationship Id="rId582" Type="http://schemas.openxmlformats.org/officeDocument/2006/relationships/image" Target="../media/c7e750a05ea73662aad498b5318e4cc1.jpg"/><Relationship Id="rId583" Type="http://schemas.openxmlformats.org/officeDocument/2006/relationships/image" Target="../media/7ba5551e1290495d4bab2a9c9d8f6d21.jpg"/><Relationship Id="rId584" Type="http://schemas.openxmlformats.org/officeDocument/2006/relationships/image" Target="../media/88c9da5cc61b2a1013542762349ea534.jpg"/><Relationship Id="rId585" Type="http://schemas.openxmlformats.org/officeDocument/2006/relationships/image" Target="../media/78c27987e90d685843976add8ab14268.jpg"/><Relationship Id="rId586" Type="http://schemas.openxmlformats.org/officeDocument/2006/relationships/image" Target="../media/2387b2334ddd324419b28f9d5d7f3444.jpg"/><Relationship Id="rId587" Type="http://schemas.openxmlformats.org/officeDocument/2006/relationships/image" Target="../media/811a08556b20d5e7345290d05b245bc1.jpg"/><Relationship Id="rId588" Type="http://schemas.openxmlformats.org/officeDocument/2006/relationships/image" Target="../media/100cadb0f55a4c3e77dfd217c93820ac.jpg"/><Relationship Id="rId589" Type="http://schemas.openxmlformats.org/officeDocument/2006/relationships/image" Target="../media/443d50bf278bd0eada2621136b6b8a48.jpg"/><Relationship Id="rId590" Type="http://schemas.openxmlformats.org/officeDocument/2006/relationships/image" Target="../media/0ced3d6209663c81139926bb00906f1e.jpg"/><Relationship Id="rId591" Type="http://schemas.openxmlformats.org/officeDocument/2006/relationships/image" Target="../media/3c855a47b9e72b44e7249fc3890401f9.jpg"/><Relationship Id="rId592" Type="http://schemas.openxmlformats.org/officeDocument/2006/relationships/image" Target="../media/6d5ce3741f087877c8b69ae735716fc9.jpg"/><Relationship Id="rId593" Type="http://schemas.openxmlformats.org/officeDocument/2006/relationships/image" Target="../media/8364d34c9cd59c6a3b192ee8450ade12.jpg"/><Relationship Id="rId594" Type="http://schemas.openxmlformats.org/officeDocument/2006/relationships/image" Target="../media/da83c8cf7c4a4b4bcb9298d2268deb16.jpg"/><Relationship Id="rId595" Type="http://schemas.openxmlformats.org/officeDocument/2006/relationships/image" Target="../media/da1ee951c946d52661c84fc6cb117671.jpg"/><Relationship Id="rId596" Type="http://schemas.openxmlformats.org/officeDocument/2006/relationships/image" Target="../media/80f39748d944b5e2d2da835fc208bcc6.jpg"/><Relationship Id="rId597" Type="http://schemas.openxmlformats.org/officeDocument/2006/relationships/image" Target="../media/e6e05fb738da929809f896431a75d99e.jpg"/><Relationship Id="rId598" Type="http://schemas.openxmlformats.org/officeDocument/2006/relationships/image" Target="../media/e98ec4e62696cc6cd78f656aa55101ea.jpg"/><Relationship Id="rId599" Type="http://schemas.openxmlformats.org/officeDocument/2006/relationships/image" Target="../media/a26d017236d1699a796d6a484e078058.jpg"/><Relationship Id="rId600" Type="http://schemas.openxmlformats.org/officeDocument/2006/relationships/image" Target="../media/2ee6f4bdb33fb59e5c82800188e70f4d.jpg"/><Relationship Id="rId601" Type="http://schemas.openxmlformats.org/officeDocument/2006/relationships/image" Target="../media/e105aa52d51a6ab8507b88aeba2885f9.jpg"/><Relationship Id="rId602" Type="http://schemas.openxmlformats.org/officeDocument/2006/relationships/image" Target="../media/7c6bd2c911e3c9e6116f49744bd2dc5d.jpg"/><Relationship Id="rId603" Type="http://schemas.openxmlformats.org/officeDocument/2006/relationships/image" Target="../media/19dc8ad7a75867e188cc954553d62f39.jpg"/><Relationship Id="rId604" Type="http://schemas.openxmlformats.org/officeDocument/2006/relationships/image" Target="../media/640a8fe8ef336bb35c0de7e6c51cf749.jpg"/><Relationship Id="rId605" Type="http://schemas.openxmlformats.org/officeDocument/2006/relationships/image" Target="../media/e72973e2cf58fa71c96e4f5c88840dc2.jpg"/><Relationship Id="rId606" Type="http://schemas.openxmlformats.org/officeDocument/2006/relationships/image" Target="../media/79eb41ad74a5659f6999318937d650ad.jpg"/><Relationship Id="rId607" Type="http://schemas.openxmlformats.org/officeDocument/2006/relationships/image" Target="../media/09f0aa936842c3cf86cce92d8845ebc2.jpg"/><Relationship Id="rId608" Type="http://schemas.openxmlformats.org/officeDocument/2006/relationships/image" Target="../media/8c74099fd6cc83609bbf57f6e5192782.jpg"/><Relationship Id="rId609" Type="http://schemas.openxmlformats.org/officeDocument/2006/relationships/image" Target="../media/af582169606782d5b49fcd5f4f0f9bb3.jpg"/><Relationship Id="rId610" Type="http://schemas.openxmlformats.org/officeDocument/2006/relationships/image" Target="../media/5e3c5c2a939fc80000b83e72d76d17b9.jpg"/><Relationship Id="rId611" Type="http://schemas.openxmlformats.org/officeDocument/2006/relationships/image" Target="../media/542016c23e9a1d44cc42ac93cfda674c.jpg"/><Relationship Id="rId612" Type="http://schemas.openxmlformats.org/officeDocument/2006/relationships/image" Target="../media/1112f33198b3f29697f0f4b9db0ea908.jpg"/><Relationship Id="rId613" Type="http://schemas.openxmlformats.org/officeDocument/2006/relationships/image" Target="../media/2f11ea296ba9b24fe257ff048eef314b.jpg"/><Relationship Id="rId614" Type="http://schemas.openxmlformats.org/officeDocument/2006/relationships/image" Target="../media/e9cac16d985e3ea6ea3edb34a7599b75.jpg"/><Relationship Id="rId615" Type="http://schemas.openxmlformats.org/officeDocument/2006/relationships/image" Target="../media/449a0dc81f6cd9d477f3b0fd8d8d745f.jpg"/><Relationship Id="rId616" Type="http://schemas.openxmlformats.org/officeDocument/2006/relationships/image" Target="../media/c4451b0dac7310346745f4b030599a7d.jpg"/><Relationship Id="rId617" Type="http://schemas.openxmlformats.org/officeDocument/2006/relationships/image" Target="../media/8b72cd2cf971c310a1a890b4885a2007.jpg"/><Relationship Id="rId618" Type="http://schemas.openxmlformats.org/officeDocument/2006/relationships/image" Target="../media/b59bdd8e912dc838eebbc57cf85f563d.jpg"/><Relationship Id="rId619" Type="http://schemas.openxmlformats.org/officeDocument/2006/relationships/image" Target="../media/2870619e162b3ead99722952bba82e25.jpg"/><Relationship Id="rId620" Type="http://schemas.openxmlformats.org/officeDocument/2006/relationships/image" Target="../media/6d5ce3741f087877c8b69ae735716fc9.jpg"/><Relationship Id="rId621" Type="http://schemas.openxmlformats.org/officeDocument/2006/relationships/image" Target="../media/6d5ce3741f087877c8b69ae735716fc9.jpg"/><Relationship Id="rId622" Type="http://schemas.openxmlformats.org/officeDocument/2006/relationships/image" Target="../media/6d5ce3741f087877c8b69ae735716fc9.jpg"/><Relationship Id="rId623" Type="http://schemas.openxmlformats.org/officeDocument/2006/relationships/image" Target="../media/6d5ce3741f087877c8b69ae735716fc9.jpg"/><Relationship Id="rId624" Type="http://schemas.openxmlformats.org/officeDocument/2006/relationships/image" Target="../media/6d5ce3741f087877c8b69ae735716fc9.jpg"/><Relationship Id="rId625" Type="http://schemas.openxmlformats.org/officeDocument/2006/relationships/image" Target="../media/6d5ce3741f087877c8b69ae735716fc9.jpg"/><Relationship Id="rId626" Type="http://schemas.openxmlformats.org/officeDocument/2006/relationships/image" Target="../media/6d5ce3741f087877c8b69ae735716fc9.jpg"/><Relationship Id="rId627" Type="http://schemas.openxmlformats.org/officeDocument/2006/relationships/image" Target="../media/6d5ce3741f087877c8b69ae735716fc9.jpg"/><Relationship Id="rId628" Type="http://schemas.openxmlformats.org/officeDocument/2006/relationships/image" Target="../media/8f823cef458e52ce074641b69f60c39d.jpg"/><Relationship Id="rId629" Type="http://schemas.openxmlformats.org/officeDocument/2006/relationships/image" Target="../media/10c465b77a240e3b3b2bd6dc5ea687cd.jpg"/><Relationship Id="rId630" Type="http://schemas.openxmlformats.org/officeDocument/2006/relationships/image" Target="../media/acd5ddc65ed4a29637ccdd6e770d7e24.jpg"/><Relationship Id="rId631" Type="http://schemas.openxmlformats.org/officeDocument/2006/relationships/image" Target="../media/9835f519000d2a4febe21d39b7315877.jpg"/><Relationship Id="rId632" Type="http://schemas.openxmlformats.org/officeDocument/2006/relationships/image" Target="../media/50c417f677741b6c97f2a6770195397a.jpg"/><Relationship Id="rId633" Type="http://schemas.openxmlformats.org/officeDocument/2006/relationships/image" Target="../media/4e2c1fedf80bd01498bee54462654289.jpg"/><Relationship Id="rId634" Type="http://schemas.openxmlformats.org/officeDocument/2006/relationships/image" Target="../media/48f4764e5cbdcf7c2fb0712e8ff7214f.jpg"/><Relationship Id="rId635" Type="http://schemas.openxmlformats.org/officeDocument/2006/relationships/image" Target="../media/40e94ec35296c86b763abfd79134d81e.jpg"/><Relationship Id="rId636" Type="http://schemas.openxmlformats.org/officeDocument/2006/relationships/image" Target="../media/c6da7a123a6f3694ca52cda2600dba84.jpg"/><Relationship Id="rId637" Type="http://schemas.openxmlformats.org/officeDocument/2006/relationships/image" Target="../media/ade623741f9b056dc2050456f8b2664c.jpg"/><Relationship Id="rId638" Type="http://schemas.openxmlformats.org/officeDocument/2006/relationships/image" Target="../media/890d80e6d81cdd7dc4499d4d2f744d27.jpg"/><Relationship Id="rId639" Type="http://schemas.openxmlformats.org/officeDocument/2006/relationships/image" Target="../media/fba88f81b05c9ce81ea9665c30fd9ccb.jpg"/><Relationship Id="rId640" Type="http://schemas.openxmlformats.org/officeDocument/2006/relationships/image" Target="../media/66b93e9da763bf334102e6cccec8f20e.jpg"/><Relationship Id="rId641" Type="http://schemas.openxmlformats.org/officeDocument/2006/relationships/image" Target="../media/ab40d075ca7c532172108d32af6507ef.jpg"/><Relationship Id="rId642" Type="http://schemas.openxmlformats.org/officeDocument/2006/relationships/image" Target="../media/f266334d46ce64d80643f7b6779a6ccf.jpg"/><Relationship Id="rId643" Type="http://schemas.openxmlformats.org/officeDocument/2006/relationships/image" Target="../media/243bc4f9fad8482fba7a44a7425d2020.jpg"/><Relationship Id="rId644" Type="http://schemas.openxmlformats.org/officeDocument/2006/relationships/image" Target="../media/3365fa67efde70308069913753ec1441.jpg"/><Relationship Id="rId645" Type="http://schemas.openxmlformats.org/officeDocument/2006/relationships/image" Target="../media/a31674fbee57bcc18cbb6a2d4411300d.jpg"/><Relationship Id="rId646" Type="http://schemas.openxmlformats.org/officeDocument/2006/relationships/image" Target="../media/3c720d6801de9e9c3e122e7e437facfe.jpg"/><Relationship Id="rId647" Type="http://schemas.openxmlformats.org/officeDocument/2006/relationships/image" Target="../media/434f60b86df73968486f713d6f3ab36c.jpg"/><Relationship Id="rId648" Type="http://schemas.openxmlformats.org/officeDocument/2006/relationships/image" Target="../media/564aca1cbd4de673de813b2b10401fea.jpg"/><Relationship Id="rId649" Type="http://schemas.openxmlformats.org/officeDocument/2006/relationships/image" Target="../media/c82c048e225ab506b076e7276a21033e.jpg"/><Relationship Id="rId650" Type="http://schemas.openxmlformats.org/officeDocument/2006/relationships/image" Target="../media/33adb4004a25b6a3b8b7485434198fa6.jpg"/><Relationship Id="rId651" Type="http://schemas.openxmlformats.org/officeDocument/2006/relationships/image" Target="../media/c61040f26618a899b8282c37bc64967f.jpg"/><Relationship Id="rId652" Type="http://schemas.openxmlformats.org/officeDocument/2006/relationships/image" Target="../media/1a0830527000af117e7aa38c92e61f2d.jpg"/><Relationship Id="rId653" Type="http://schemas.openxmlformats.org/officeDocument/2006/relationships/image" Target="../media/81f6fa717c9586287053aa1451bdcb79.jpg"/><Relationship Id="rId654" Type="http://schemas.openxmlformats.org/officeDocument/2006/relationships/image" Target="../media/6e221066b513d32afd7da57ff460c6f4.jpg"/><Relationship Id="rId655" Type="http://schemas.openxmlformats.org/officeDocument/2006/relationships/image" Target="../media/5c5c695e6581d4d46ea63cee002d3512.jpg"/><Relationship Id="rId656" Type="http://schemas.openxmlformats.org/officeDocument/2006/relationships/image" Target="../media/a4a86d59606f3b1d9128d79fa196394d.jpg"/><Relationship Id="rId657" Type="http://schemas.openxmlformats.org/officeDocument/2006/relationships/image" Target="../media/c1a979f675f5f347ed6ef189dc32bdd6.jpg"/><Relationship Id="rId658" Type="http://schemas.openxmlformats.org/officeDocument/2006/relationships/image" Target="../media/d07aefafe96ce19aca5b3288ec6cb79a.jpg"/><Relationship Id="rId659" Type="http://schemas.openxmlformats.org/officeDocument/2006/relationships/image" Target="../media/9980cb8b00d000ffe1dd93388ea9eabe.jpg"/><Relationship Id="rId660" Type="http://schemas.openxmlformats.org/officeDocument/2006/relationships/image" Target="../media/a0dea6f875a927ed658ef6834a8ae221.jpg"/><Relationship Id="rId661" Type="http://schemas.openxmlformats.org/officeDocument/2006/relationships/image" Target="../media/1390037bc5a1d75bf61475d28a532930.jpg"/><Relationship Id="rId662" Type="http://schemas.openxmlformats.org/officeDocument/2006/relationships/image" Target="../media/34857bb4583670041ad82f2c26df277c.jpg"/><Relationship Id="rId663" Type="http://schemas.openxmlformats.org/officeDocument/2006/relationships/image" Target="../media/96e95434d5e1253e70d2c04cceb598e1.jpg"/><Relationship Id="rId664" Type="http://schemas.openxmlformats.org/officeDocument/2006/relationships/image" Target="../media/f8e1ef92afe5df4f8d1965e527cca804.jpg"/><Relationship Id="rId665" Type="http://schemas.openxmlformats.org/officeDocument/2006/relationships/image" Target="../media/dcf31c54a68960aeb2836fb085315dcd.jpg"/><Relationship Id="rId666" Type="http://schemas.openxmlformats.org/officeDocument/2006/relationships/image" Target="../media/a35b766cd3d100722ff965b9f0c2757b.jpg"/><Relationship Id="rId667" Type="http://schemas.openxmlformats.org/officeDocument/2006/relationships/image" Target="../media/6ee22d29818c71e4384e38f2324fe687.jpg"/><Relationship Id="rId668" Type="http://schemas.openxmlformats.org/officeDocument/2006/relationships/image" Target="../media/547fd8e6737a4e72e130a67aebb7b60e.jpg"/><Relationship Id="rId669" Type="http://schemas.openxmlformats.org/officeDocument/2006/relationships/image" Target="../media/ab6d1e94a4e80621caf8a0f9c2e1b655.jpg"/><Relationship Id="rId670" Type="http://schemas.openxmlformats.org/officeDocument/2006/relationships/image" Target="../media/4da1d45b24c0883ab39445dca02a7d64.jpg"/><Relationship Id="rId671" Type="http://schemas.openxmlformats.org/officeDocument/2006/relationships/image" Target="../media/420c16d8412b43c8de360180a258cfbe.jpg"/><Relationship Id="rId672" Type="http://schemas.openxmlformats.org/officeDocument/2006/relationships/image" Target="../media/a75b7f2699b5a4019785562d1de1194a.jpg"/><Relationship Id="rId673" Type="http://schemas.openxmlformats.org/officeDocument/2006/relationships/image" Target="../media/ad21b19a2d91e0785e3b66de352edfeb.jpg"/><Relationship Id="rId674" Type="http://schemas.openxmlformats.org/officeDocument/2006/relationships/image" Target="../media/472ad6cd03abc70a9c4906c230aed1b7.jpg"/><Relationship Id="rId675" Type="http://schemas.openxmlformats.org/officeDocument/2006/relationships/image" Target="../media/ba008ba21989bd71e1be1a742cbbee96.jpg"/><Relationship Id="rId676" Type="http://schemas.openxmlformats.org/officeDocument/2006/relationships/image" Target="../media/b2d17b40de5556af41694795fe7bee99.jpg"/><Relationship Id="rId677" Type="http://schemas.openxmlformats.org/officeDocument/2006/relationships/image" Target="../media/4ad3285c658740b1f52fe3fb0508f469.jpg"/><Relationship Id="rId678" Type="http://schemas.openxmlformats.org/officeDocument/2006/relationships/image" Target="../media/89fde319e3fea4978daae158739833d9.jpg"/><Relationship Id="rId679" Type="http://schemas.openxmlformats.org/officeDocument/2006/relationships/image" Target="../media/00d03ca4bf9e63e2cc31c156fd079af9.jpg"/><Relationship Id="rId680" Type="http://schemas.openxmlformats.org/officeDocument/2006/relationships/image" Target="../media/297c358f4e361ab9e77d102592ada35f.jpg"/><Relationship Id="rId681" Type="http://schemas.openxmlformats.org/officeDocument/2006/relationships/image" Target="../media/835108b88f7c8859d9903c83ce351c23.jpg"/><Relationship Id="rId682" Type="http://schemas.openxmlformats.org/officeDocument/2006/relationships/image" Target="../media/6ae561b59039190bb379718c0097dbd8.jpg"/><Relationship Id="rId683" Type="http://schemas.openxmlformats.org/officeDocument/2006/relationships/image" Target="../media/9c8e6d5dc657c9f69e1c4b357651557c.jpg"/><Relationship Id="rId684" Type="http://schemas.openxmlformats.org/officeDocument/2006/relationships/image" Target="../media/46bbaff3f114ae5e53c7f13e982d2dbb.jpg"/><Relationship Id="rId685" Type="http://schemas.openxmlformats.org/officeDocument/2006/relationships/image" Target="../media/a74e36a3937e1c17cae91076094492c9.jpg"/><Relationship Id="rId686" Type="http://schemas.openxmlformats.org/officeDocument/2006/relationships/image" Target="../media/63d001df014a73d1f944b01ee3ef786f.jpg"/><Relationship Id="rId687" Type="http://schemas.openxmlformats.org/officeDocument/2006/relationships/image" Target="../media/cfc86436759c58cf2182305fa952bda8.jpg"/><Relationship Id="rId688" Type="http://schemas.openxmlformats.org/officeDocument/2006/relationships/image" Target="../media/7f1a847d86524d9be266e229529f818d.jpg"/><Relationship Id="rId689" Type="http://schemas.openxmlformats.org/officeDocument/2006/relationships/image" Target="../media/7c31aa82a08e05af8fde8c9b00e8b2f8.jpg"/><Relationship Id="rId690" Type="http://schemas.openxmlformats.org/officeDocument/2006/relationships/image" Target="../media/3c47f3eb2ab2831471f27b293afbab7d.jpg"/><Relationship Id="rId691" Type="http://schemas.openxmlformats.org/officeDocument/2006/relationships/image" Target="../media/2c8b905ed8feca20d9c921113dddd1d2.jpg"/><Relationship Id="rId692" Type="http://schemas.openxmlformats.org/officeDocument/2006/relationships/image" Target="../media/f3775d6826e55451a6ebf1f8cd7d0dba.jpg"/><Relationship Id="rId693" Type="http://schemas.openxmlformats.org/officeDocument/2006/relationships/image" Target="../media/52da7b94062f960892cbb8dc3dd61ac5.jpg"/><Relationship Id="rId694" Type="http://schemas.openxmlformats.org/officeDocument/2006/relationships/image" Target="../media/f531c8f4118e53530a618148ed9ba8a5.jpg"/><Relationship Id="rId695" Type="http://schemas.openxmlformats.org/officeDocument/2006/relationships/image" Target="../media/d9a7026022bf4a3983692bf5af93abc5.jpg"/><Relationship Id="rId696" Type="http://schemas.openxmlformats.org/officeDocument/2006/relationships/image" Target="../media/8388582823e21e6a928442bfb028352e.jpg"/><Relationship Id="rId697" Type="http://schemas.openxmlformats.org/officeDocument/2006/relationships/image" Target="../media/7952ba3957f905e867248bf40c184013.jpg"/><Relationship Id="rId698" Type="http://schemas.openxmlformats.org/officeDocument/2006/relationships/image" Target="../media/9060b690d6392c3ffb971fc89ffcaa6a.jpg"/><Relationship Id="rId699" Type="http://schemas.openxmlformats.org/officeDocument/2006/relationships/image" Target="../media/624f846e5bf07358d4ee66fbef5be257.jpg"/><Relationship Id="rId700" Type="http://schemas.openxmlformats.org/officeDocument/2006/relationships/image" Target="../media/340a7b315674bd0628cbe5657c169d31.jpg"/><Relationship Id="rId701" Type="http://schemas.openxmlformats.org/officeDocument/2006/relationships/image" Target="../media/e980501aa25ae03bf306c64f344570ba.jpg"/><Relationship Id="rId702" Type="http://schemas.openxmlformats.org/officeDocument/2006/relationships/image" Target="../media/90705e8a096df9840aa12cf51b497b0a.jpg"/><Relationship Id="rId703" Type="http://schemas.openxmlformats.org/officeDocument/2006/relationships/image" Target="../media/46b9351bbb97fc3912a78803d9ffa407.jpg"/><Relationship Id="rId704" Type="http://schemas.openxmlformats.org/officeDocument/2006/relationships/image" Target="../media/b416e609e95c1e9584a755ea6ec1160e.jpg"/><Relationship Id="rId705" Type="http://schemas.openxmlformats.org/officeDocument/2006/relationships/image" Target="../media/e4c32406cc56f1b18003b00f87deeebc.jpg"/><Relationship Id="rId706" Type="http://schemas.openxmlformats.org/officeDocument/2006/relationships/image" Target="../media/a22b7145b1fdacc987b860c2623a360f.jpg"/><Relationship Id="rId707" Type="http://schemas.openxmlformats.org/officeDocument/2006/relationships/image" Target="../media/bed646bdd27c71cb7d8550fd65a6a7e0.jpg"/><Relationship Id="rId708" Type="http://schemas.openxmlformats.org/officeDocument/2006/relationships/image" Target="../media/95df897b0d060f7b79111bdb1c64741a.jpg"/><Relationship Id="rId709" Type="http://schemas.openxmlformats.org/officeDocument/2006/relationships/image" Target="../media/284c64e4290473cdd4f86f8ac5ba2534.jpg"/><Relationship Id="rId710" Type="http://schemas.openxmlformats.org/officeDocument/2006/relationships/image" Target="../media/1a42ad2fb70d2ea4bf04434b437b43d9.jpg"/><Relationship Id="rId711" Type="http://schemas.openxmlformats.org/officeDocument/2006/relationships/image" Target="../media/1b5298c5987bbc7818de828a8404aa93.jpg"/><Relationship Id="rId712" Type="http://schemas.openxmlformats.org/officeDocument/2006/relationships/image" Target="../media/04c2500aba4a0346460e953e03ec080d.jpg"/><Relationship Id="rId713" Type="http://schemas.openxmlformats.org/officeDocument/2006/relationships/image" Target="../media/814d69387c456378a5d5c8965ad0dbc6.jpg"/><Relationship Id="rId714" Type="http://schemas.openxmlformats.org/officeDocument/2006/relationships/image" Target="../media/08566e5f0711ddb25157e344d2320e28.jpg"/><Relationship Id="rId715" Type="http://schemas.openxmlformats.org/officeDocument/2006/relationships/image" Target="../media/81eaf119397a999532967b16e86f5598.jpg"/><Relationship Id="rId716" Type="http://schemas.openxmlformats.org/officeDocument/2006/relationships/image" Target="../media/27a293783837f1df690535739c665dc4.jpg"/><Relationship Id="rId717" Type="http://schemas.openxmlformats.org/officeDocument/2006/relationships/image" Target="../media/5096cb90945041ffe930e0c443cf87e9.jpg"/><Relationship Id="rId718" Type="http://schemas.openxmlformats.org/officeDocument/2006/relationships/image" Target="../media/2b50ca0823953368751da08d4b710c36.jpg"/><Relationship Id="rId719" Type="http://schemas.openxmlformats.org/officeDocument/2006/relationships/image" Target="../media/e21f9544585cb9914cfd1b7cde998c64.jpg"/><Relationship Id="rId720" Type="http://schemas.openxmlformats.org/officeDocument/2006/relationships/image" Target="../media/6e490b9ccc45c37c20dad80b3eb8bb3e.jpg"/><Relationship Id="rId721" Type="http://schemas.openxmlformats.org/officeDocument/2006/relationships/image" Target="../media/6516c7ff3c949bf1ec0ae5b7b6b09eac.jpg"/><Relationship Id="rId722" Type="http://schemas.openxmlformats.org/officeDocument/2006/relationships/image" Target="../media/e45c10776baae466d7fc9db6436570dd.jpg"/><Relationship Id="rId723" Type="http://schemas.openxmlformats.org/officeDocument/2006/relationships/image" Target="../media/8c37707dfb937ce69c2919e5cb77e56e.jpg"/><Relationship Id="rId724" Type="http://schemas.openxmlformats.org/officeDocument/2006/relationships/image" Target="../media/a3991c7e14a39870a2fabc523741102d.jpg"/><Relationship Id="rId725" Type="http://schemas.openxmlformats.org/officeDocument/2006/relationships/image" Target="../media/6d5ce3741f087877c8b69ae735716fc9.jpg"/><Relationship Id="rId726" Type="http://schemas.openxmlformats.org/officeDocument/2006/relationships/image" Target="../media/07d94838e32d5a6d6aa9320a8b5c7319.jpg"/><Relationship Id="rId727" Type="http://schemas.openxmlformats.org/officeDocument/2006/relationships/image" Target="../media/cf6ddfe62e45d735a1a9829e2b3cd08c.jpg"/><Relationship Id="rId728" Type="http://schemas.openxmlformats.org/officeDocument/2006/relationships/image" Target="../media/cefa63a73b09d06d3d528c87c4c64fc3.jpg"/><Relationship Id="rId729" Type="http://schemas.openxmlformats.org/officeDocument/2006/relationships/image" Target="../media/35c27288deac9974c7469818d30f139d.jpg"/><Relationship Id="rId730" Type="http://schemas.openxmlformats.org/officeDocument/2006/relationships/image" Target="../media/488d3e276bb58c849e2b2ece7e108d7e.jpg"/><Relationship Id="rId731" Type="http://schemas.openxmlformats.org/officeDocument/2006/relationships/image" Target="../media/de0710b12a2a9295dc0f680e34369da4.jpg"/><Relationship Id="rId732" Type="http://schemas.openxmlformats.org/officeDocument/2006/relationships/image" Target="../media/725b56219ebb28f85138c0d8f0eed71e.jpg"/><Relationship Id="rId733" Type="http://schemas.openxmlformats.org/officeDocument/2006/relationships/image" Target="../media/7d472534c444917390c4c8d762c907a3.jpg"/><Relationship Id="rId734" Type="http://schemas.openxmlformats.org/officeDocument/2006/relationships/image" Target="../media/3d53c88957acea15062f88d7766b48aa.jpg"/><Relationship Id="rId735" Type="http://schemas.openxmlformats.org/officeDocument/2006/relationships/image" Target="../media/cb54e939515cbcde365ee06384d50cb1.jpg"/><Relationship Id="rId736" Type="http://schemas.openxmlformats.org/officeDocument/2006/relationships/image" Target="../media/1efec7dc1ee273a3ad731e7e48c670b2.jpg"/><Relationship Id="rId737" Type="http://schemas.openxmlformats.org/officeDocument/2006/relationships/image" Target="../media/476ddf4b818ab4ad4473746cc5d2bd36.jpg"/><Relationship Id="rId738" Type="http://schemas.openxmlformats.org/officeDocument/2006/relationships/image" Target="../media/55911f24c838d1e4f5686159434bb03f.jpg"/><Relationship Id="rId739" Type="http://schemas.openxmlformats.org/officeDocument/2006/relationships/image" Target="../media/728426e4d824c9f33229c4f1fb1ec844.jpg"/><Relationship Id="rId740" Type="http://schemas.openxmlformats.org/officeDocument/2006/relationships/image" Target="../media/9cadee22af16fc58f8330890b5e61445.jpg"/><Relationship Id="rId741" Type="http://schemas.openxmlformats.org/officeDocument/2006/relationships/image" Target="../media/c6efbae7d370d5d1922742a67390b0c2.jpg"/><Relationship Id="rId742" Type="http://schemas.openxmlformats.org/officeDocument/2006/relationships/image" Target="../media/5a620a3c4538ae05223ae9c205bce90a.jpg"/><Relationship Id="rId743" Type="http://schemas.openxmlformats.org/officeDocument/2006/relationships/image" Target="../media/16b1dec069b52db3d31e46e8e403a5a4.jpg"/><Relationship Id="rId744" Type="http://schemas.openxmlformats.org/officeDocument/2006/relationships/image" Target="../media/3952c2f30a6f7a7495c7dd9ed98f6968.jpg"/><Relationship Id="rId745" Type="http://schemas.openxmlformats.org/officeDocument/2006/relationships/image" Target="../media/041ab4483ae1c2bbf6b1b891e073f5ef.jpg"/><Relationship Id="rId746" Type="http://schemas.openxmlformats.org/officeDocument/2006/relationships/image" Target="../media/268ed4336e3e417fb6404cb70caaabf9.jpg"/><Relationship Id="rId747" Type="http://schemas.openxmlformats.org/officeDocument/2006/relationships/image" Target="../media/b8c60ad11ab70bf1e8f040521fab1a22.jpg"/><Relationship Id="rId748" Type="http://schemas.openxmlformats.org/officeDocument/2006/relationships/image" Target="../media/7073de6d91c2c2f713803ba03ff8f85d.jpg"/><Relationship Id="rId749" Type="http://schemas.openxmlformats.org/officeDocument/2006/relationships/image" Target="../media/8ddf0e5003aa1644d0d496d9780518c5.jpg"/><Relationship Id="rId750" Type="http://schemas.openxmlformats.org/officeDocument/2006/relationships/image" Target="../media/e7f307194bda3132eaa534eff361dde3.jpg"/><Relationship Id="rId751" Type="http://schemas.openxmlformats.org/officeDocument/2006/relationships/image" Target="../media/7cb37ababc01a0f6f35ef09ca2cd2b1a.jpg"/><Relationship Id="rId752" Type="http://schemas.openxmlformats.org/officeDocument/2006/relationships/image" Target="../media/77f39d4105853ab08f2f7d69b1ddac28.jpg"/><Relationship Id="rId753" Type="http://schemas.openxmlformats.org/officeDocument/2006/relationships/image" Target="../media/709d26508d6ef50be69d9a9540dad9fd.jpg"/><Relationship Id="rId754" Type="http://schemas.openxmlformats.org/officeDocument/2006/relationships/image" Target="../media/c797fd32d505cb66a8dc530304e42b56.jpg"/><Relationship Id="rId755" Type="http://schemas.openxmlformats.org/officeDocument/2006/relationships/image" Target="../media/cf021eeabf0ef3384fa6be334c2fc24f.jpg"/><Relationship Id="rId756" Type="http://schemas.openxmlformats.org/officeDocument/2006/relationships/image" Target="../media/763d006af92afc70e42fae0ecf537ca0.jpg"/><Relationship Id="rId757" Type="http://schemas.openxmlformats.org/officeDocument/2006/relationships/image" Target="../media/875262e64b41dd75165cbc94ffba13fc.jpg"/><Relationship Id="rId758" Type="http://schemas.openxmlformats.org/officeDocument/2006/relationships/image" Target="../media/47a2595efbc514a48037ee95468e49b3.jpg"/><Relationship Id="rId759" Type="http://schemas.openxmlformats.org/officeDocument/2006/relationships/image" Target="../media/957a7ccfa96a138e3f6838bf98befe0a.jpg"/><Relationship Id="rId760" Type="http://schemas.openxmlformats.org/officeDocument/2006/relationships/image" Target="../media/d2dd8ae1b6848e7b00e923f2bee29a26.jpg"/><Relationship Id="rId761" Type="http://schemas.openxmlformats.org/officeDocument/2006/relationships/image" Target="../media/5bab053dd2a9499354186600841a4d7c.jpg"/><Relationship Id="rId762" Type="http://schemas.openxmlformats.org/officeDocument/2006/relationships/image" Target="../media/fe3ad236033b031ed4cbdbe8f0626849.jpg"/><Relationship Id="rId763" Type="http://schemas.openxmlformats.org/officeDocument/2006/relationships/image" Target="../media/35cfd0424efbee01f7f110e7a6c2e3c8.jpg"/><Relationship Id="rId764" Type="http://schemas.openxmlformats.org/officeDocument/2006/relationships/image" Target="../media/b5e41fb6144caea183b6e9b4b5872b87.jpg"/><Relationship Id="rId765" Type="http://schemas.openxmlformats.org/officeDocument/2006/relationships/image" Target="../media/92603604e8b6d6f3643a153c6a5df3bc.jpg"/><Relationship Id="rId766" Type="http://schemas.openxmlformats.org/officeDocument/2006/relationships/image" Target="../media/ccc207abf1551e4bb62a9df559f8291d.jpg"/><Relationship Id="rId767" Type="http://schemas.openxmlformats.org/officeDocument/2006/relationships/image" Target="../media/b2e620766debc8ab386bb522aba4f7ff.jpg"/><Relationship Id="rId768" Type="http://schemas.openxmlformats.org/officeDocument/2006/relationships/image" Target="../media/ebfe9481c63b31c171c3058703dfb611.jpg"/><Relationship Id="rId769" Type="http://schemas.openxmlformats.org/officeDocument/2006/relationships/image" Target="../media/644589c63788e27a6bb2182c373bb7f6.jpg"/><Relationship Id="rId770" Type="http://schemas.openxmlformats.org/officeDocument/2006/relationships/image" Target="../media/ddb19c89d3567851d1e564b4bea7b3fe.jpg"/><Relationship Id="rId771" Type="http://schemas.openxmlformats.org/officeDocument/2006/relationships/image" Target="../media/d9e086a4e1f089a0c4c972940fc72191.jpg"/><Relationship Id="rId772" Type="http://schemas.openxmlformats.org/officeDocument/2006/relationships/image" Target="../media/feefc4b82d3177e09cc397a5e709f1a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142875</xdr:rowOff>
    </xdr:from>
    <xdr:ext cx="647700" cy="43815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76200</xdr:rowOff>
    </xdr:from>
    <xdr:ext cx="647700" cy="5715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47625</xdr:rowOff>
    </xdr:from>
    <xdr:ext cx="647700" cy="638175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219075</xdr:rowOff>
    </xdr:from>
    <xdr:ext cx="647700" cy="28575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95250</xdr:rowOff>
    </xdr:from>
    <xdr:ext cx="647700" cy="542925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95250</xdr:rowOff>
    </xdr:from>
    <xdr:ext cx="647700" cy="542925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85725</xdr:rowOff>
    </xdr:from>
    <xdr:ext cx="647700" cy="55245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161925</xdr:rowOff>
    </xdr:from>
    <xdr:ext cx="647700" cy="409575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50" name="photo_156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1" name="photo_157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2" name="photo_15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3" name="photo_159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4" name="photo_160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5" name="photo_161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6" name="photo_16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7" name="photo_163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8" name="photo_164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9" name="photo_165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60" name="photo_166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1" name="photo_167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2" name="photo_16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3" name="photo_169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4" name="photo_17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5" name="photo_171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6" name="photo_172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7" name="photo_173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8" name="photo_174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9" name="photo_175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70" name="photo_17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1" name="photo_177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38100</xdr:rowOff>
    </xdr:from>
    <xdr:ext cx="647700" cy="647700"/>
    <xdr:pic>
      <xdr:nvPicPr>
        <xdr:cNvPr id="172" name="photo_178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3" name="photo_179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38100</xdr:rowOff>
    </xdr:from>
    <xdr:ext cx="647700" cy="647700"/>
    <xdr:pic>
      <xdr:nvPicPr>
        <xdr:cNvPr id="174" name="photo_180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5" name="photo_181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38100</xdr:rowOff>
    </xdr:from>
    <xdr:ext cx="647700" cy="647700"/>
    <xdr:pic>
      <xdr:nvPicPr>
        <xdr:cNvPr id="176" name="photo_182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7" name="photo_183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38100</xdr:rowOff>
    </xdr:from>
    <xdr:ext cx="647700" cy="647700"/>
    <xdr:pic>
      <xdr:nvPicPr>
        <xdr:cNvPr id="178" name="photo_184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9" name="photo_185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80" name="photo_186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81" name="photo_187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82" name="photo_188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3" name="photo_189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84" name="photo_190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5" name="photo_191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6" name="photo_192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7" name="photo_193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285750</xdr:rowOff>
    </xdr:from>
    <xdr:ext cx="647700" cy="152400"/>
    <xdr:pic>
      <xdr:nvPicPr>
        <xdr:cNvPr id="188" name="photo_194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285750</xdr:rowOff>
    </xdr:from>
    <xdr:ext cx="647700" cy="152400"/>
    <xdr:pic>
      <xdr:nvPicPr>
        <xdr:cNvPr id="189" name="photo_195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285750</xdr:rowOff>
    </xdr:from>
    <xdr:ext cx="647700" cy="152400"/>
    <xdr:pic>
      <xdr:nvPicPr>
        <xdr:cNvPr id="190" name="photo_196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1" name="photo_197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285750</xdr:rowOff>
    </xdr:from>
    <xdr:ext cx="647700" cy="152400"/>
    <xdr:pic>
      <xdr:nvPicPr>
        <xdr:cNvPr id="192" name="photo_198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38100</xdr:rowOff>
    </xdr:from>
    <xdr:ext cx="647700" cy="647700"/>
    <xdr:pic>
      <xdr:nvPicPr>
        <xdr:cNvPr id="193" name="photo_199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4" name="photo_200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38100</xdr:rowOff>
    </xdr:from>
    <xdr:ext cx="647700" cy="647700"/>
    <xdr:pic>
      <xdr:nvPicPr>
        <xdr:cNvPr id="195" name="photo_201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6" name="photo_202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38100</xdr:rowOff>
    </xdr:from>
    <xdr:ext cx="647700" cy="647700"/>
    <xdr:pic>
      <xdr:nvPicPr>
        <xdr:cNvPr id="197" name="photo_203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8" name="photo_204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9" name="photo_205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200" name="photo_206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1" name="photo_207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2" name="photo_208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3" name="photo_209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4" name="photo_210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5" name="photo_211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6" name="photo_212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7" name="photo_213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8" name="photo_214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9" name="photo_215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10" name="photo_216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38100</xdr:rowOff>
    </xdr:from>
    <xdr:ext cx="647700" cy="647700"/>
    <xdr:pic>
      <xdr:nvPicPr>
        <xdr:cNvPr id="211" name="photo_217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2" name="photo_218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3" name="photo_219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4" name="photo_220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220</xdr:row>
      <xdr:rowOff>38100</xdr:rowOff>
    </xdr:from>
    <xdr:ext cx="647700" cy="647700"/>
    <xdr:pic>
      <xdr:nvPicPr>
        <xdr:cNvPr id="215" name="photo_221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6" name="photo_222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7" name="photo_223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8" name="photo_224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9" name="photo_225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20" name="photo_226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21" name="photo_227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227</xdr:row>
      <xdr:rowOff>38100</xdr:rowOff>
    </xdr:from>
    <xdr:ext cx="647700" cy="647700"/>
    <xdr:pic>
      <xdr:nvPicPr>
        <xdr:cNvPr id="222" name="photo_228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3" name="photo_229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4" name="photo_230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230</xdr:row>
      <xdr:rowOff>38100</xdr:rowOff>
    </xdr:from>
    <xdr:ext cx="647700" cy="647700"/>
    <xdr:pic>
      <xdr:nvPicPr>
        <xdr:cNvPr id="225" name="photo_231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231</xdr:row>
      <xdr:rowOff>38100</xdr:rowOff>
    </xdr:from>
    <xdr:ext cx="647700" cy="647700"/>
    <xdr:pic>
      <xdr:nvPicPr>
        <xdr:cNvPr id="226" name="photo_232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232</xdr:row>
      <xdr:rowOff>38100</xdr:rowOff>
    </xdr:from>
    <xdr:ext cx="647700" cy="647700"/>
    <xdr:pic>
      <xdr:nvPicPr>
        <xdr:cNvPr id="227" name="photo_233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233</xdr:row>
      <xdr:rowOff>38100</xdr:rowOff>
    </xdr:from>
    <xdr:ext cx="647700" cy="647700"/>
    <xdr:pic>
      <xdr:nvPicPr>
        <xdr:cNvPr id="228" name="photo_234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38100</xdr:rowOff>
    </xdr:from>
    <xdr:ext cx="647700" cy="647700"/>
    <xdr:pic>
      <xdr:nvPicPr>
        <xdr:cNvPr id="229" name="photo_235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38100</xdr:rowOff>
    </xdr:from>
    <xdr:ext cx="647700" cy="647700"/>
    <xdr:pic>
      <xdr:nvPicPr>
        <xdr:cNvPr id="230" name="photo_236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38100</xdr:rowOff>
    </xdr:from>
    <xdr:ext cx="647700" cy="647700"/>
    <xdr:pic>
      <xdr:nvPicPr>
        <xdr:cNvPr id="231" name="photo_237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237</xdr:row>
      <xdr:rowOff>38100</xdr:rowOff>
    </xdr:from>
    <xdr:ext cx="647700" cy="647700"/>
    <xdr:pic>
      <xdr:nvPicPr>
        <xdr:cNvPr id="232" name="photo_238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38100</xdr:rowOff>
    </xdr:from>
    <xdr:ext cx="647700" cy="647700"/>
    <xdr:pic>
      <xdr:nvPicPr>
        <xdr:cNvPr id="233" name="photo_239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38100</xdr:rowOff>
    </xdr:from>
    <xdr:ext cx="647700" cy="647700"/>
    <xdr:pic>
      <xdr:nvPicPr>
        <xdr:cNvPr id="234" name="photo_240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38100</xdr:rowOff>
    </xdr:from>
    <xdr:ext cx="647700" cy="647700"/>
    <xdr:pic>
      <xdr:nvPicPr>
        <xdr:cNvPr id="235" name="photo_241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38100</xdr:rowOff>
    </xdr:from>
    <xdr:ext cx="647700" cy="647700"/>
    <xdr:pic>
      <xdr:nvPicPr>
        <xdr:cNvPr id="236" name="photo_242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38100</xdr:rowOff>
    </xdr:from>
    <xdr:ext cx="647700" cy="647700"/>
    <xdr:pic>
      <xdr:nvPicPr>
        <xdr:cNvPr id="237" name="photo_243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243</xdr:row>
      <xdr:rowOff>38100</xdr:rowOff>
    </xdr:from>
    <xdr:ext cx="647700" cy="647700"/>
    <xdr:pic>
      <xdr:nvPicPr>
        <xdr:cNvPr id="238" name="photo_244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244</xdr:row>
      <xdr:rowOff>38100</xdr:rowOff>
    </xdr:from>
    <xdr:ext cx="647700" cy="647700"/>
    <xdr:pic>
      <xdr:nvPicPr>
        <xdr:cNvPr id="239" name="photo_245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245</xdr:row>
      <xdr:rowOff>38100</xdr:rowOff>
    </xdr:from>
    <xdr:ext cx="647700" cy="647700"/>
    <xdr:pic>
      <xdr:nvPicPr>
        <xdr:cNvPr id="240" name="photo_246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246</xdr:row>
      <xdr:rowOff>38100</xdr:rowOff>
    </xdr:from>
    <xdr:ext cx="647700" cy="647700"/>
    <xdr:pic>
      <xdr:nvPicPr>
        <xdr:cNvPr id="241" name="photo_247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247</xdr:row>
      <xdr:rowOff>38100</xdr:rowOff>
    </xdr:from>
    <xdr:ext cx="647700" cy="647700"/>
    <xdr:pic>
      <xdr:nvPicPr>
        <xdr:cNvPr id="242" name="photo_248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248</xdr:row>
      <xdr:rowOff>38100</xdr:rowOff>
    </xdr:from>
    <xdr:ext cx="647700" cy="647700"/>
    <xdr:pic>
      <xdr:nvPicPr>
        <xdr:cNvPr id="243" name="photo_249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249</xdr:row>
      <xdr:rowOff>38100</xdr:rowOff>
    </xdr:from>
    <xdr:ext cx="647700" cy="647700"/>
    <xdr:pic>
      <xdr:nvPicPr>
        <xdr:cNvPr id="244" name="photo_250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250</xdr:row>
      <xdr:rowOff>38100</xdr:rowOff>
    </xdr:from>
    <xdr:ext cx="647700" cy="647700"/>
    <xdr:pic>
      <xdr:nvPicPr>
        <xdr:cNvPr id="245" name="photo_251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251</xdr:row>
      <xdr:rowOff>38100</xdr:rowOff>
    </xdr:from>
    <xdr:ext cx="647700" cy="647700"/>
    <xdr:pic>
      <xdr:nvPicPr>
        <xdr:cNvPr id="246" name="photo_252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252</xdr:row>
      <xdr:rowOff>38100</xdr:rowOff>
    </xdr:from>
    <xdr:ext cx="647700" cy="647700"/>
    <xdr:pic>
      <xdr:nvPicPr>
        <xdr:cNvPr id="247" name="photo_253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253</xdr:row>
      <xdr:rowOff>38100</xdr:rowOff>
    </xdr:from>
    <xdr:ext cx="647700" cy="647700"/>
    <xdr:pic>
      <xdr:nvPicPr>
        <xdr:cNvPr id="248" name="photo_254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254</xdr:row>
      <xdr:rowOff>38100</xdr:rowOff>
    </xdr:from>
    <xdr:ext cx="647700" cy="647700"/>
    <xdr:pic>
      <xdr:nvPicPr>
        <xdr:cNvPr id="249" name="photo_255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255</xdr:row>
      <xdr:rowOff>38100</xdr:rowOff>
    </xdr:from>
    <xdr:ext cx="647700" cy="647700"/>
    <xdr:pic>
      <xdr:nvPicPr>
        <xdr:cNvPr id="250" name="photo_256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256</xdr:row>
      <xdr:rowOff>38100</xdr:rowOff>
    </xdr:from>
    <xdr:ext cx="647700" cy="647700"/>
    <xdr:pic>
      <xdr:nvPicPr>
        <xdr:cNvPr id="251" name="photo_257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257</xdr:row>
      <xdr:rowOff>38100</xdr:rowOff>
    </xdr:from>
    <xdr:ext cx="647700" cy="647700"/>
    <xdr:pic>
      <xdr:nvPicPr>
        <xdr:cNvPr id="252" name="photo_258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258</xdr:row>
      <xdr:rowOff>38100</xdr:rowOff>
    </xdr:from>
    <xdr:ext cx="647700" cy="647700"/>
    <xdr:pic>
      <xdr:nvPicPr>
        <xdr:cNvPr id="253" name="photo_259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259</xdr:row>
      <xdr:rowOff>38100</xdr:rowOff>
    </xdr:from>
    <xdr:ext cx="647700" cy="647700"/>
    <xdr:pic>
      <xdr:nvPicPr>
        <xdr:cNvPr id="254" name="photo_260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260</xdr:row>
      <xdr:rowOff>38100</xdr:rowOff>
    </xdr:from>
    <xdr:ext cx="647700" cy="647700"/>
    <xdr:pic>
      <xdr:nvPicPr>
        <xdr:cNvPr id="255" name="photo_261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261</xdr:row>
      <xdr:rowOff>38100</xdr:rowOff>
    </xdr:from>
    <xdr:ext cx="647700" cy="647700"/>
    <xdr:pic>
      <xdr:nvPicPr>
        <xdr:cNvPr id="256" name="photo_262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262</xdr:row>
      <xdr:rowOff>38100</xdr:rowOff>
    </xdr:from>
    <xdr:ext cx="647700" cy="647700"/>
    <xdr:pic>
      <xdr:nvPicPr>
        <xdr:cNvPr id="257" name="photo_263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263</xdr:row>
      <xdr:rowOff>38100</xdr:rowOff>
    </xdr:from>
    <xdr:ext cx="647700" cy="647700"/>
    <xdr:pic>
      <xdr:nvPicPr>
        <xdr:cNvPr id="258" name="photo_264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264</xdr:row>
      <xdr:rowOff>38100</xdr:rowOff>
    </xdr:from>
    <xdr:ext cx="647700" cy="647700"/>
    <xdr:pic>
      <xdr:nvPicPr>
        <xdr:cNvPr id="259" name="photo_265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265</xdr:row>
      <xdr:rowOff>38100</xdr:rowOff>
    </xdr:from>
    <xdr:ext cx="647700" cy="647700"/>
    <xdr:pic>
      <xdr:nvPicPr>
        <xdr:cNvPr id="260" name="photo_266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266</xdr:row>
      <xdr:rowOff>38100</xdr:rowOff>
    </xdr:from>
    <xdr:ext cx="647700" cy="647700"/>
    <xdr:pic>
      <xdr:nvPicPr>
        <xdr:cNvPr id="261" name="photo_267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267</xdr:row>
      <xdr:rowOff>38100</xdr:rowOff>
    </xdr:from>
    <xdr:ext cx="647700" cy="647700"/>
    <xdr:pic>
      <xdr:nvPicPr>
        <xdr:cNvPr id="262" name="photo_268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268</xdr:row>
      <xdr:rowOff>38100</xdr:rowOff>
    </xdr:from>
    <xdr:ext cx="647700" cy="647700"/>
    <xdr:pic>
      <xdr:nvPicPr>
        <xdr:cNvPr id="263" name="photo_269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269</xdr:row>
      <xdr:rowOff>38100</xdr:rowOff>
    </xdr:from>
    <xdr:ext cx="647700" cy="647700"/>
    <xdr:pic>
      <xdr:nvPicPr>
        <xdr:cNvPr id="264" name="photo_270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270</xdr:row>
      <xdr:rowOff>38100</xdr:rowOff>
    </xdr:from>
    <xdr:ext cx="647700" cy="647700"/>
    <xdr:pic>
      <xdr:nvPicPr>
        <xdr:cNvPr id="265" name="photo_271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271</xdr:row>
      <xdr:rowOff>38100</xdr:rowOff>
    </xdr:from>
    <xdr:ext cx="647700" cy="647700"/>
    <xdr:pic>
      <xdr:nvPicPr>
        <xdr:cNvPr id="266" name="photo_272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272</xdr:row>
      <xdr:rowOff>38100</xdr:rowOff>
    </xdr:from>
    <xdr:ext cx="647700" cy="647700"/>
    <xdr:pic>
      <xdr:nvPicPr>
        <xdr:cNvPr id="267" name="photo_273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273</xdr:row>
      <xdr:rowOff>38100</xdr:rowOff>
    </xdr:from>
    <xdr:ext cx="647700" cy="647700"/>
    <xdr:pic>
      <xdr:nvPicPr>
        <xdr:cNvPr id="268" name="photo_274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274</xdr:row>
      <xdr:rowOff>38100</xdr:rowOff>
    </xdr:from>
    <xdr:ext cx="647700" cy="647700"/>
    <xdr:pic>
      <xdr:nvPicPr>
        <xdr:cNvPr id="269" name="photo_275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275</xdr:row>
      <xdr:rowOff>38100</xdr:rowOff>
    </xdr:from>
    <xdr:ext cx="647700" cy="647700"/>
    <xdr:pic>
      <xdr:nvPicPr>
        <xdr:cNvPr id="270" name="photo_276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276</xdr:row>
      <xdr:rowOff>38100</xdr:rowOff>
    </xdr:from>
    <xdr:ext cx="647700" cy="647700"/>
    <xdr:pic>
      <xdr:nvPicPr>
        <xdr:cNvPr id="271" name="photo_277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277</xdr:row>
      <xdr:rowOff>38100</xdr:rowOff>
    </xdr:from>
    <xdr:ext cx="647700" cy="647700"/>
    <xdr:pic>
      <xdr:nvPicPr>
        <xdr:cNvPr id="272" name="photo_278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278</xdr:row>
      <xdr:rowOff>38100</xdr:rowOff>
    </xdr:from>
    <xdr:ext cx="647700" cy="647700"/>
    <xdr:pic>
      <xdr:nvPicPr>
        <xdr:cNvPr id="273" name="photo_279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279</xdr:row>
      <xdr:rowOff>38100</xdr:rowOff>
    </xdr:from>
    <xdr:ext cx="647700" cy="647700"/>
    <xdr:pic>
      <xdr:nvPicPr>
        <xdr:cNvPr id="274" name="photo_280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280</xdr:row>
      <xdr:rowOff>38100</xdr:rowOff>
    </xdr:from>
    <xdr:ext cx="647700" cy="647700"/>
    <xdr:pic>
      <xdr:nvPicPr>
        <xdr:cNvPr id="275" name="photo_281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281</xdr:row>
      <xdr:rowOff>38100</xdr:rowOff>
    </xdr:from>
    <xdr:ext cx="647700" cy="647700"/>
    <xdr:pic>
      <xdr:nvPicPr>
        <xdr:cNvPr id="276" name="photo_282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282</xdr:row>
      <xdr:rowOff>38100</xdr:rowOff>
    </xdr:from>
    <xdr:ext cx="647700" cy="647700"/>
    <xdr:pic>
      <xdr:nvPicPr>
        <xdr:cNvPr id="277" name="photo_283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283</xdr:row>
      <xdr:rowOff>38100</xdr:rowOff>
    </xdr:from>
    <xdr:ext cx="647700" cy="647700"/>
    <xdr:pic>
      <xdr:nvPicPr>
        <xdr:cNvPr id="278" name="photo_284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284</xdr:row>
      <xdr:rowOff>38100</xdr:rowOff>
    </xdr:from>
    <xdr:ext cx="647700" cy="647700"/>
    <xdr:pic>
      <xdr:nvPicPr>
        <xdr:cNvPr id="279" name="photo_285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285</xdr:row>
      <xdr:rowOff>38100</xdr:rowOff>
    </xdr:from>
    <xdr:ext cx="647700" cy="647700"/>
    <xdr:pic>
      <xdr:nvPicPr>
        <xdr:cNvPr id="280" name="photo_286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286</xdr:row>
      <xdr:rowOff>38100</xdr:rowOff>
    </xdr:from>
    <xdr:ext cx="647700" cy="647700"/>
    <xdr:pic>
      <xdr:nvPicPr>
        <xdr:cNvPr id="281" name="photo_287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287</xdr:row>
      <xdr:rowOff>38100</xdr:rowOff>
    </xdr:from>
    <xdr:ext cx="647700" cy="647700"/>
    <xdr:pic>
      <xdr:nvPicPr>
        <xdr:cNvPr id="282" name="photo_288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288</xdr:row>
      <xdr:rowOff>38100</xdr:rowOff>
    </xdr:from>
    <xdr:ext cx="647700" cy="647700"/>
    <xdr:pic>
      <xdr:nvPicPr>
        <xdr:cNvPr id="283" name="photo_289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289</xdr:row>
      <xdr:rowOff>38100</xdr:rowOff>
    </xdr:from>
    <xdr:ext cx="647700" cy="647700"/>
    <xdr:pic>
      <xdr:nvPicPr>
        <xdr:cNvPr id="284" name="photo_290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290</xdr:row>
      <xdr:rowOff>38100</xdr:rowOff>
    </xdr:from>
    <xdr:ext cx="647700" cy="647700"/>
    <xdr:pic>
      <xdr:nvPicPr>
        <xdr:cNvPr id="285" name="photo_291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291</xdr:row>
      <xdr:rowOff>38100</xdr:rowOff>
    </xdr:from>
    <xdr:ext cx="647700" cy="647700"/>
    <xdr:pic>
      <xdr:nvPicPr>
        <xdr:cNvPr id="286" name="photo_292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292</xdr:row>
      <xdr:rowOff>38100</xdr:rowOff>
    </xdr:from>
    <xdr:ext cx="647700" cy="647700"/>
    <xdr:pic>
      <xdr:nvPicPr>
        <xdr:cNvPr id="287" name="photo_293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293</xdr:row>
      <xdr:rowOff>38100</xdr:rowOff>
    </xdr:from>
    <xdr:ext cx="647700" cy="647700"/>
    <xdr:pic>
      <xdr:nvPicPr>
        <xdr:cNvPr id="288" name="photo_294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294</xdr:row>
      <xdr:rowOff>38100</xdr:rowOff>
    </xdr:from>
    <xdr:ext cx="647700" cy="647700"/>
    <xdr:pic>
      <xdr:nvPicPr>
        <xdr:cNvPr id="289" name="photo_295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295</xdr:row>
      <xdr:rowOff>38100</xdr:rowOff>
    </xdr:from>
    <xdr:ext cx="647700" cy="647700"/>
    <xdr:pic>
      <xdr:nvPicPr>
        <xdr:cNvPr id="290" name="photo_296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296</xdr:row>
      <xdr:rowOff>38100</xdr:rowOff>
    </xdr:from>
    <xdr:ext cx="647700" cy="647700"/>
    <xdr:pic>
      <xdr:nvPicPr>
        <xdr:cNvPr id="291" name="photo_297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297</xdr:row>
      <xdr:rowOff>38100</xdr:rowOff>
    </xdr:from>
    <xdr:ext cx="647700" cy="647700"/>
    <xdr:pic>
      <xdr:nvPicPr>
        <xdr:cNvPr id="292" name="photo_298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298</xdr:row>
      <xdr:rowOff>180975</xdr:rowOff>
    </xdr:from>
    <xdr:ext cx="647700" cy="371475"/>
    <xdr:pic>
      <xdr:nvPicPr>
        <xdr:cNvPr id="293" name="photo_299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299</xdr:row>
      <xdr:rowOff>38100</xdr:rowOff>
    </xdr:from>
    <xdr:ext cx="647700" cy="647700"/>
    <xdr:pic>
      <xdr:nvPicPr>
        <xdr:cNvPr id="294" name="photo_300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300</xdr:row>
      <xdr:rowOff>38100</xdr:rowOff>
    </xdr:from>
    <xdr:ext cx="647700" cy="647700"/>
    <xdr:pic>
      <xdr:nvPicPr>
        <xdr:cNvPr id="295" name="photo_301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301</xdr:row>
      <xdr:rowOff>38100</xdr:rowOff>
    </xdr:from>
    <xdr:ext cx="647700" cy="647700"/>
    <xdr:pic>
      <xdr:nvPicPr>
        <xdr:cNvPr id="296" name="photo_302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302</xdr:row>
      <xdr:rowOff>38100</xdr:rowOff>
    </xdr:from>
    <xdr:ext cx="647700" cy="647700"/>
    <xdr:pic>
      <xdr:nvPicPr>
        <xdr:cNvPr id="297" name="photo_303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303</xdr:row>
      <xdr:rowOff>38100</xdr:rowOff>
    </xdr:from>
    <xdr:ext cx="647700" cy="647700"/>
    <xdr:pic>
      <xdr:nvPicPr>
        <xdr:cNvPr id="298" name="photo_304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304</xdr:row>
      <xdr:rowOff>38100</xdr:rowOff>
    </xdr:from>
    <xdr:ext cx="647700" cy="647700"/>
    <xdr:pic>
      <xdr:nvPicPr>
        <xdr:cNvPr id="299" name="photo_305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305</xdr:row>
      <xdr:rowOff>38100</xdr:rowOff>
    </xdr:from>
    <xdr:ext cx="647700" cy="647700"/>
    <xdr:pic>
      <xdr:nvPicPr>
        <xdr:cNvPr id="300" name="photo_306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306</xdr:row>
      <xdr:rowOff>38100</xdr:rowOff>
    </xdr:from>
    <xdr:ext cx="647700" cy="647700"/>
    <xdr:pic>
      <xdr:nvPicPr>
        <xdr:cNvPr id="301" name="photo_307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307</xdr:row>
      <xdr:rowOff>38100</xdr:rowOff>
    </xdr:from>
    <xdr:ext cx="647700" cy="647700"/>
    <xdr:pic>
      <xdr:nvPicPr>
        <xdr:cNvPr id="302" name="photo_308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308</xdr:row>
      <xdr:rowOff>38100</xdr:rowOff>
    </xdr:from>
    <xdr:ext cx="647700" cy="647700"/>
    <xdr:pic>
      <xdr:nvPicPr>
        <xdr:cNvPr id="303" name="photo_309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309</xdr:row>
      <xdr:rowOff>38100</xdr:rowOff>
    </xdr:from>
    <xdr:ext cx="647700" cy="647700"/>
    <xdr:pic>
      <xdr:nvPicPr>
        <xdr:cNvPr id="304" name="photo_310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310</xdr:row>
      <xdr:rowOff>38100</xdr:rowOff>
    </xdr:from>
    <xdr:ext cx="647700" cy="647700"/>
    <xdr:pic>
      <xdr:nvPicPr>
        <xdr:cNvPr id="305" name="photo_311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311</xdr:row>
      <xdr:rowOff>38100</xdr:rowOff>
    </xdr:from>
    <xdr:ext cx="647700" cy="647700"/>
    <xdr:pic>
      <xdr:nvPicPr>
        <xdr:cNvPr id="306" name="photo_312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312</xdr:row>
      <xdr:rowOff>38100</xdr:rowOff>
    </xdr:from>
    <xdr:ext cx="647700" cy="647700"/>
    <xdr:pic>
      <xdr:nvPicPr>
        <xdr:cNvPr id="307" name="photo_313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313</xdr:row>
      <xdr:rowOff>38100</xdr:rowOff>
    </xdr:from>
    <xdr:ext cx="647700" cy="647700"/>
    <xdr:pic>
      <xdr:nvPicPr>
        <xdr:cNvPr id="308" name="photo_314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314</xdr:row>
      <xdr:rowOff>38100</xdr:rowOff>
    </xdr:from>
    <xdr:ext cx="647700" cy="647700"/>
    <xdr:pic>
      <xdr:nvPicPr>
        <xdr:cNvPr id="309" name="photo_315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315</xdr:row>
      <xdr:rowOff>38100</xdr:rowOff>
    </xdr:from>
    <xdr:ext cx="647700" cy="647700"/>
    <xdr:pic>
      <xdr:nvPicPr>
        <xdr:cNvPr id="310" name="photo_316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316</xdr:row>
      <xdr:rowOff>38100</xdr:rowOff>
    </xdr:from>
    <xdr:ext cx="647700" cy="647700"/>
    <xdr:pic>
      <xdr:nvPicPr>
        <xdr:cNvPr id="311" name="photo_317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317</xdr:row>
      <xdr:rowOff>38100</xdr:rowOff>
    </xdr:from>
    <xdr:ext cx="647700" cy="647700"/>
    <xdr:pic>
      <xdr:nvPicPr>
        <xdr:cNvPr id="312" name="photo_318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318</xdr:row>
      <xdr:rowOff>38100</xdr:rowOff>
    </xdr:from>
    <xdr:ext cx="647700" cy="647700"/>
    <xdr:pic>
      <xdr:nvPicPr>
        <xdr:cNvPr id="313" name="photo_319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319</xdr:row>
      <xdr:rowOff>38100</xdr:rowOff>
    </xdr:from>
    <xdr:ext cx="647700" cy="647700"/>
    <xdr:pic>
      <xdr:nvPicPr>
        <xdr:cNvPr id="314" name="photo_320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320</xdr:row>
      <xdr:rowOff>38100</xdr:rowOff>
    </xdr:from>
    <xdr:ext cx="647700" cy="647700"/>
    <xdr:pic>
      <xdr:nvPicPr>
        <xdr:cNvPr id="315" name="photo_321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321</xdr:row>
      <xdr:rowOff>38100</xdr:rowOff>
    </xdr:from>
    <xdr:ext cx="647700" cy="647700"/>
    <xdr:pic>
      <xdr:nvPicPr>
        <xdr:cNvPr id="316" name="photo_322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322</xdr:row>
      <xdr:rowOff>38100</xdr:rowOff>
    </xdr:from>
    <xdr:ext cx="647700" cy="647700"/>
    <xdr:pic>
      <xdr:nvPicPr>
        <xdr:cNvPr id="317" name="photo_323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323</xdr:row>
      <xdr:rowOff>180975</xdr:rowOff>
    </xdr:from>
    <xdr:ext cx="647700" cy="371475"/>
    <xdr:pic>
      <xdr:nvPicPr>
        <xdr:cNvPr id="318" name="photo_324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324</xdr:row>
      <xdr:rowOff>38100</xdr:rowOff>
    </xdr:from>
    <xdr:ext cx="647700" cy="647700"/>
    <xdr:pic>
      <xdr:nvPicPr>
        <xdr:cNvPr id="319" name="photo_325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325</xdr:row>
      <xdr:rowOff>38100</xdr:rowOff>
    </xdr:from>
    <xdr:ext cx="647700" cy="647700"/>
    <xdr:pic>
      <xdr:nvPicPr>
        <xdr:cNvPr id="320" name="photo_326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326</xdr:row>
      <xdr:rowOff>38100</xdr:rowOff>
    </xdr:from>
    <xdr:ext cx="647700" cy="647700"/>
    <xdr:pic>
      <xdr:nvPicPr>
        <xdr:cNvPr id="321" name="photo_327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327</xdr:row>
      <xdr:rowOff>38100</xdr:rowOff>
    </xdr:from>
    <xdr:ext cx="647700" cy="647700"/>
    <xdr:pic>
      <xdr:nvPicPr>
        <xdr:cNvPr id="322" name="photo_328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328</xdr:row>
      <xdr:rowOff>38100</xdr:rowOff>
    </xdr:from>
    <xdr:ext cx="647700" cy="647700"/>
    <xdr:pic>
      <xdr:nvPicPr>
        <xdr:cNvPr id="323" name="photo_329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329</xdr:row>
      <xdr:rowOff>38100</xdr:rowOff>
    </xdr:from>
    <xdr:ext cx="647700" cy="647700"/>
    <xdr:pic>
      <xdr:nvPicPr>
        <xdr:cNvPr id="324" name="photo_330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330</xdr:row>
      <xdr:rowOff>38100</xdr:rowOff>
    </xdr:from>
    <xdr:ext cx="647700" cy="647700"/>
    <xdr:pic>
      <xdr:nvPicPr>
        <xdr:cNvPr id="325" name="photo_331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331</xdr:row>
      <xdr:rowOff>85725</xdr:rowOff>
    </xdr:from>
    <xdr:ext cx="647700" cy="561975"/>
    <xdr:pic>
      <xdr:nvPicPr>
        <xdr:cNvPr id="326" name="photo_332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332</xdr:row>
      <xdr:rowOff>38100</xdr:rowOff>
    </xdr:from>
    <xdr:ext cx="628650" cy="647700"/>
    <xdr:pic>
      <xdr:nvPicPr>
        <xdr:cNvPr id="327" name="photo_333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333</xdr:row>
      <xdr:rowOff>95250</xdr:rowOff>
    </xdr:from>
    <xdr:ext cx="647700" cy="542925"/>
    <xdr:pic>
      <xdr:nvPicPr>
        <xdr:cNvPr id="328" name="photo_334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334</xdr:row>
      <xdr:rowOff>38100</xdr:rowOff>
    </xdr:from>
    <xdr:ext cx="647700" cy="647700"/>
    <xdr:pic>
      <xdr:nvPicPr>
        <xdr:cNvPr id="329" name="photo_335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335</xdr:row>
      <xdr:rowOff>85725</xdr:rowOff>
    </xdr:from>
    <xdr:ext cx="647700" cy="552450"/>
    <xdr:pic>
      <xdr:nvPicPr>
        <xdr:cNvPr id="330" name="photo_336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336</xdr:row>
      <xdr:rowOff>38100</xdr:rowOff>
    </xdr:from>
    <xdr:ext cx="647700" cy="647700"/>
    <xdr:pic>
      <xdr:nvPicPr>
        <xdr:cNvPr id="331" name="photo_337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337</xdr:row>
      <xdr:rowOff>38100</xdr:rowOff>
    </xdr:from>
    <xdr:ext cx="647700" cy="647700"/>
    <xdr:pic>
      <xdr:nvPicPr>
        <xdr:cNvPr id="332" name="photo_338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338</xdr:row>
      <xdr:rowOff>38100</xdr:rowOff>
    </xdr:from>
    <xdr:ext cx="647700" cy="647700"/>
    <xdr:pic>
      <xdr:nvPicPr>
        <xdr:cNvPr id="333" name="photo_339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339</xdr:row>
      <xdr:rowOff>38100</xdr:rowOff>
    </xdr:from>
    <xdr:ext cx="647700" cy="647700"/>
    <xdr:pic>
      <xdr:nvPicPr>
        <xdr:cNvPr id="334" name="photo_340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340</xdr:row>
      <xdr:rowOff>85725</xdr:rowOff>
    </xdr:from>
    <xdr:ext cx="647700" cy="552450"/>
    <xdr:pic>
      <xdr:nvPicPr>
        <xdr:cNvPr id="335" name="photo_341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341</xdr:row>
      <xdr:rowOff>38100</xdr:rowOff>
    </xdr:from>
    <xdr:ext cx="647700" cy="647700"/>
    <xdr:pic>
      <xdr:nvPicPr>
        <xdr:cNvPr id="336" name="photo_342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342</xdr:row>
      <xdr:rowOff>38100</xdr:rowOff>
    </xdr:from>
    <xdr:ext cx="647700" cy="647700"/>
    <xdr:pic>
      <xdr:nvPicPr>
        <xdr:cNvPr id="337" name="photo_343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343</xdr:row>
      <xdr:rowOff>38100</xdr:rowOff>
    </xdr:from>
    <xdr:ext cx="647700" cy="647700"/>
    <xdr:pic>
      <xdr:nvPicPr>
        <xdr:cNvPr id="338" name="photo_344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344</xdr:row>
      <xdr:rowOff>38100</xdr:rowOff>
    </xdr:from>
    <xdr:ext cx="647700" cy="647700"/>
    <xdr:pic>
      <xdr:nvPicPr>
        <xdr:cNvPr id="339" name="photo_345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345</xdr:row>
      <xdr:rowOff>38100</xdr:rowOff>
    </xdr:from>
    <xdr:ext cx="647700" cy="647700"/>
    <xdr:pic>
      <xdr:nvPicPr>
        <xdr:cNvPr id="340" name="photo_346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346</xdr:row>
      <xdr:rowOff>38100</xdr:rowOff>
    </xdr:from>
    <xdr:ext cx="647700" cy="647700"/>
    <xdr:pic>
      <xdr:nvPicPr>
        <xdr:cNvPr id="341" name="photo_347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347</xdr:row>
      <xdr:rowOff>38100</xdr:rowOff>
    </xdr:from>
    <xdr:ext cx="647700" cy="647700"/>
    <xdr:pic>
      <xdr:nvPicPr>
        <xdr:cNvPr id="342" name="photo_348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348</xdr:row>
      <xdr:rowOff>38100</xdr:rowOff>
    </xdr:from>
    <xdr:ext cx="647700" cy="647700"/>
    <xdr:pic>
      <xdr:nvPicPr>
        <xdr:cNvPr id="343" name="photo_349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349</xdr:row>
      <xdr:rowOff>38100</xdr:rowOff>
    </xdr:from>
    <xdr:ext cx="647700" cy="647700"/>
    <xdr:pic>
      <xdr:nvPicPr>
        <xdr:cNvPr id="344" name="photo_350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350</xdr:row>
      <xdr:rowOff>38100</xdr:rowOff>
    </xdr:from>
    <xdr:ext cx="647700" cy="647700"/>
    <xdr:pic>
      <xdr:nvPicPr>
        <xdr:cNvPr id="345" name="photo_351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351</xdr:row>
      <xdr:rowOff>38100</xdr:rowOff>
    </xdr:from>
    <xdr:ext cx="647700" cy="647700"/>
    <xdr:pic>
      <xdr:nvPicPr>
        <xdr:cNvPr id="346" name="photo_352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352</xdr:row>
      <xdr:rowOff>38100</xdr:rowOff>
    </xdr:from>
    <xdr:ext cx="647700" cy="647700"/>
    <xdr:pic>
      <xdr:nvPicPr>
        <xdr:cNvPr id="347" name="photo_353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353</xdr:row>
      <xdr:rowOff>38100</xdr:rowOff>
    </xdr:from>
    <xdr:ext cx="647700" cy="647700"/>
    <xdr:pic>
      <xdr:nvPicPr>
        <xdr:cNvPr id="348" name="photo_354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354</xdr:row>
      <xdr:rowOff>38100</xdr:rowOff>
    </xdr:from>
    <xdr:ext cx="647700" cy="647700"/>
    <xdr:pic>
      <xdr:nvPicPr>
        <xdr:cNvPr id="349" name="photo_355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355</xdr:row>
      <xdr:rowOff>38100</xdr:rowOff>
    </xdr:from>
    <xdr:ext cx="647700" cy="647700"/>
    <xdr:pic>
      <xdr:nvPicPr>
        <xdr:cNvPr id="350" name="photo_356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356</xdr:row>
      <xdr:rowOff>38100</xdr:rowOff>
    </xdr:from>
    <xdr:ext cx="647700" cy="647700"/>
    <xdr:pic>
      <xdr:nvPicPr>
        <xdr:cNvPr id="351" name="photo_357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357</xdr:row>
      <xdr:rowOff>38100</xdr:rowOff>
    </xdr:from>
    <xdr:ext cx="647700" cy="647700"/>
    <xdr:pic>
      <xdr:nvPicPr>
        <xdr:cNvPr id="352" name="photo_358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358</xdr:row>
      <xdr:rowOff>38100</xdr:rowOff>
    </xdr:from>
    <xdr:ext cx="647700" cy="647700"/>
    <xdr:pic>
      <xdr:nvPicPr>
        <xdr:cNvPr id="353" name="photo_359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359</xdr:row>
      <xdr:rowOff>38100</xdr:rowOff>
    </xdr:from>
    <xdr:ext cx="647700" cy="647700"/>
    <xdr:pic>
      <xdr:nvPicPr>
        <xdr:cNvPr id="354" name="photo_360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360</xdr:row>
      <xdr:rowOff>38100</xdr:rowOff>
    </xdr:from>
    <xdr:ext cx="647700" cy="647700"/>
    <xdr:pic>
      <xdr:nvPicPr>
        <xdr:cNvPr id="355" name="photo_361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361</xdr:row>
      <xdr:rowOff>38100</xdr:rowOff>
    </xdr:from>
    <xdr:ext cx="647700" cy="647700"/>
    <xdr:pic>
      <xdr:nvPicPr>
        <xdr:cNvPr id="356" name="photo_362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362</xdr:row>
      <xdr:rowOff>38100</xdr:rowOff>
    </xdr:from>
    <xdr:ext cx="647700" cy="647700"/>
    <xdr:pic>
      <xdr:nvPicPr>
        <xdr:cNvPr id="357" name="photo_363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363</xdr:row>
      <xdr:rowOff>38100</xdr:rowOff>
    </xdr:from>
    <xdr:ext cx="647700" cy="647700"/>
    <xdr:pic>
      <xdr:nvPicPr>
        <xdr:cNvPr id="358" name="photo_364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364</xdr:row>
      <xdr:rowOff>38100</xdr:rowOff>
    </xdr:from>
    <xdr:ext cx="647700" cy="647700"/>
    <xdr:pic>
      <xdr:nvPicPr>
        <xdr:cNvPr id="359" name="photo_365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365</xdr:row>
      <xdr:rowOff>38100</xdr:rowOff>
    </xdr:from>
    <xdr:ext cx="647700" cy="647700"/>
    <xdr:pic>
      <xdr:nvPicPr>
        <xdr:cNvPr id="360" name="photo_366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366</xdr:row>
      <xdr:rowOff>38100</xdr:rowOff>
    </xdr:from>
    <xdr:ext cx="647700" cy="647700"/>
    <xdr:pic>
      <xdr:nvPicPr>
        <xdr:cNvPr id="361" name="photo_367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367</xdr:row>
      <xdr:rowOff>38100</xdr:rowOff>
    </xdr:from>
    <xdr:ext cx="647700" cy="647700"/>
    <xdr:pic>
      <xdr:nvPicPr>
        <xdr:cNvPr id="362" name="photo_368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368</xdr:row>
      <xdr:rowOff>38100</xdr:rowOff>
    </xdr:from>
    <xdr:ext cx="647700" cy="647700"/>
    <xdr:pic>
      <xdr:nvPicPr>
        <xdr:cNvPr id="363" name="photo_369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369</xdr:row>
      <xdr:rowOff>133350</xdr:rowOff>
    </xdr:from>
    <xdr:ext cx="647700" cy="457200"/>
    <xdr:pic>
      <xdr:nvPicPr>
        <xdr:cNvPr id="364" name="photo_370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370</xdr:row>
      <xdr:rowOff>38100</xdr:rowOff>
    </xdr:from>
    <xdr:ext cx="647700" cy="647700"/>
    <xdr:pic>
      <xdr:nvPicPr>
        <xdr:cNvPr id="365" name="photo_371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371</xdr:row>
      <xdr:rowOff>38100</xdr:rowOff>
    </xdr:from>
    <xdr:ext cx="647700" cy="647700"/>
    <xdr:pic>
      <xdr:nvPicPr>
        <xdr:cNvPr id="366" name="photo_372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372</xdr:row>
      <xdr:rowOff>38100</xdr:rowOff>
    </xdr:from>
    <xdr:ext cx="647700" cy="647700"/>
    <xdr:pic>
      <xdr:nvPicPr>
        <xdr:cNvPr id="367" name="photo_373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373</xdr:row>
      <xdr:rowOff>38100</xdr:rowOff>
    </xdr:from>
    <xdr:ext cx="647700" cy="647700"/>
    <xdr:pic>
      <xdr:nvPicPr>
        <xdr:cNvPr id="368" name="photo_374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374</xdr:row>
      <xdr:rowOff>38100</xdr:rowOff>
    </xdr:from>
    <xdr:ext cx="647700" cy="647700"/>
    <xdr:pic>
      <xdr:nvPicPr>
        <xdr:cNvPr id="369" name="photo_375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375</xdr:row>
      <xdr:rowOff>38100</xdr:rowOff>
    </xdr:from>
    <xdr:ext cx="647700" cy="647700"/>
    <xdr:pic>
      <xdr:nvPicPr>
        <xdr:cNvPr id="370" name="photo_376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376</xdr:row>
      <xdr:rowOff>38100</xdr:rowOff>
    </xdr:from>
    <xdr:ext cx="647700" cy="647700"/>
    <xdr:pic>
      <xdr:nvPicPr>
        <xdr:cNvPr id="371" name="photo_377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377</xdr:row>
      <xdr:rowOff>38100</xdr:rowOff>
    </xdr:from>
    <xdr:ext cx="647700" cy="647700"/>
    <xdr:pic>
      <xdr:nvPicPr>
        <xdr:cNvPr id="372" name="photo_378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378</xdr:row>
      <xdr:rowOff>38100</xdr:rowOff>
    </xdr:from>
    <xdr:ext cx="647700" cy="647700"/>
    <xdr:pic>
      <xdr:nvPicPr>
        <xdr:cNvPr id="373" name="photo_379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379</xdr:row>
      <xdr:rowOff>38100</xdr:rowOff>
    </xdr:from>
    <xdr:ext cx="647700" cy="647700"/>
    <xdr:pic>
      <xdr:nvPicPr>
        <xdr:cNvPr id="374" name="photo_380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380</xdr:row>
      <xdr:rowOff>38100</xdr:rowOff>
    </xdr:from>
    <xdr:ext cx="647700" cy="647700"/>
    <xdr:pic>
      <xdr:nvPicPr>
        <xdr:cNvPr id="375" name="photo_381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381</xdr:row>
      <xdr:rowOff>38100</xdr:rowOff>
    </xdr:from>
    <xdr:ext cx="647700" cy="647700"/>
    <xdr:pic>
      <xdr:nvPicPr>
        <xdr:cNvPr id="376" name="photo_382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382</xdr:row>
      <xdr:rowOff>38100</xdr:rowOff>
    </xdr:from>
    <xdr:ext cx="647700" cy="647700"/>
    <xdr:pic>
      <xdr:nvPicPr>
        <xdr:cNvPr id="377" name="photo_383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383</xdr:row>
      <xdr:rowOff>38100</xdr:rowOff>
    </xdr:from>
    <xdr:ext cx="647700" cy="647700"/>
    <xdr:pic>
      <xdr:nvPicPr>
        <xdr:cNvPr id="378" name="photo_384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384</xdr:row>
      <xdr:rowOff>38100</xdr:rowOff>
    </xdr:from>
    <xdr:ext cx="647700" cy="647700"/>
    <xdr:pic>
      <xdr:nvPicPr>
        <xdr:cNvPr id="379" name="photo_385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385</xdr:row>
      <xdr:rowOff>38100</xdr:rowOff>
    </xdr:from>
    <xdr:ext cx="647700" cy="647700"/>
    <xdr:pic>
      <xdr:nvPicPr>
        <xdr:cNvPr id="380" name="photo_386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386</xdr:row>
      <xdr:rowOff>38100</xdr:rowOff>
    </xdr:from>
    <xdr:ext cx="647700" cy="647700"/>
    <xdr:pic>
      <xdr:nvPicPr>
        <xdr:cNvPr id="381" name="photo_387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387</xdr:row>
      <xdr:rowOff>38100</xdr:rowOff>
    </xdr:from>
    <xdr:ext cx="647700" cy="647700"/>
    <xdr:pic>
      <xdr:nvPicPr>
        <xdr:cNvPr id="382" name="photo_388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388</xdr:row>
      <xdr:rowOff>38100</xdr:rowOff>
    </xdr:from>
    <xdr:ext cx="647700" cy="647700"/>
    <xdr:pic>
      <xdr:nvPicPr>
        <xdr:cNvPr id="383" name="photo_389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389</xdr:row>
      <xdr:rowOff>38100</xdr:rowOff>
    </xdr:from>
    <xdr:ext cx="647700" cy="647700"/>
    <xdr:pic>
      <xdr:nvPicPr>
        <xdr:cNvPr id="384" name="photo_390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390</xdr:row>
      <xdr:rowOff>38100</xdr:rowOff>
    </xdr:from>
    <xdr:ext cx="647700" cy="647700"/>
    <xdr:pic>
      <xdr:nvPicPr>
        <xdr:cNvPr id="385" name="photo_391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391</xdr:row>
      <xdr:rowOff>38100</xdr:rowOff>
    </xdr:from>
    <xdr:ext cx="647700" cy="647700"/>
    <xdr:pic>
      <xdr:nvPicPr>
        <xdr:cNvPr id="386" name="photo_392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392</xdr:row>
      <xdr:rowOff>38100</xdr:rowOff>
    </xdr:from>
    <xdr:ext cx="647700" cy="647700"/>
    <xdr:pic>
      <xdr:nvPicPr>
        <xdr:cNvPr id="387" name="photo_393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393</xdr:row>
      <xdr:rowOff>38100</xdr:rowOff>
    </xdr:from>
    <xdr:ext cx="647700" cy="647700"/>
    <xdr:pic>
      <xdr:nvPicPr>
        <xdr:cNvPr id="388" name="photo_394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394</xdr:row>
      <xdr:rowOff>38100</xdr:rowOff>
    </xdr:from>
    <xdr:ext cx="647700" cy="647700"/>
    <xdr:pic>
      <xdr:nvPicPr>
        <xdr:cNvPr id="389" name="photo_395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395</xdr:row>
      <xdr:rowOff>38100</xdr:rowOff>
    </xdr:from>
    <xdr:ext cx="647700" cy="647700"/>
    <xdr:pic>
      <xdr:nvPicPr>
        <xdr:cNvPr id="390" name="photo_396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396</xdr:row>
      <xdr:rowOff>66675</xdr:rowOff>
    </xdr:from>
    <xdr:ext cx="647700" cy="590550"/>
    <xdr:pic>
      <xdr:nvPicPr>
        <xdr:cNvPr id="391" name="photo_397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397</xdr:row>
      <xdr:rowOff>38100</xdr:rowOff>
    </xdr:from>
    <xdr:ext cx="647700" cy="647700"/>
    <xdr:pic>
      <xdr:nvPicPr>
        <xdr:cNvPr id="392" name="photo_398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398</xdr:row>
      <xdr:rowOff>38100</xdr:rowOff>
    </xdr:from>
    <xdr:ext cx="647700" cy="647700"/>
    <xdr:pic>
      <xdr:nvPicPr>
        <xdr:cNvPr id="393" name="photo_399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399</xdr:row>
      <xdr:rowOff>38100</xdr:rowOff>
    </xdr:from>
    <xdr:ext cx="647700" cy="647700"/>
    <xdr:pic>
      <xdr:nvPicPr>
        <xdr:cNvPr id="394" name="photo_400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400</xdr:row>
      <xdr:rowOff>38100</xdr:rowOff>
    </xdr:from>
    <xdr:ext cx="647700" cy="647700"/>
    <xdr:pic>
      <xdr:nvPicPr>
        <xdr:cNvPr id="395" name="photo_401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401</xdr:row>
      <xdr:rowOff>38100</xdr:rowOff>
    </xdr:from>
    <xdr:ext cx="647700" cy="647700"/>
    <xdr:pic>
      <xdr:nvPicPr>
        <xdr:cNvPr id="396" name="photo_402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402</xdr:row>
      <xdr:rowOff>66675</xdr:rowOff>
    </xdr:from>
    <xdr:ext cx="647700" cy="590550"/>
    <xdr:pic>
      <xdr:nvPicPr>
        <xdr:cNvPr id="397" name="photo_403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403</xdr:row>
      <xdr:rowOff>66675</xdr:rowOff>
    </xdr:from>
    <xdr:ext cx="647700" cy="590550"/>
    <xdr:pic>
      <xdr:nvPicPr>
        <xdr:cNvPr id="398" name="photo_404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404</xdr:row>
      <xdr:rowOff>66675</xdr:rowOff>
    </xdr:from>
    <xdr:ext cx="647700" cy="590550"/>
    <xdr:pic>
      <xdr:nvPicPr>
        <xdr:cNvPr id="399" name="photo_405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405</xdr:row>
      <xdr:rowOff>66675</xdr:rowOff>
    </xdr:from>
    <xdr:ext cx="647700" cy="590550"/>
    <xdr:pic>
      <xdr:nvPicPr>
        <xdr:cNvPr id="400" name="photo_406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406</xdr:row>
      <xdr:rowOff>66675</xdr:rowOff>
    </xdr:from>
    <xdr:ext cx="647700" cy="590550"/>
    <xdr:pic>
      <xdr:nvPicPr>
        <xdr:cNvPr id="401" name="photo_407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407</xdr:row>
      <xdr:rowOff>66675</xdr:rowOff>
    </xdr:from>
    <xdr:ext cx="647700" cy="590550"/>
    <xdr:pic>
      <xdr:nvPicPr>
        <xdr:cNvPr id="402" name="photo_408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408</xdr:row>
      <xdr:rowOff>66675</xdr:rowOff>
    </xdr:from>
    <xdr:ext cx="647700" cy="590550"/>
    <xdr:pic>
      <xdr:nvPicPr>
        <xdr:cNvPr id="403" name="photo_409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409</xdr:row>
      <xdr:rowOff>66675</xdr:rowOff>
    </xdr:from>
    <xdr:ext cx="647700" cy="590550"/>
    <xdr:pic>
      <xdr:nvPicPr>
        <xdr:cNvPr id="404" name="photo_410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410</xdr:row>
      <xdr:rowOff>38100</xdr:rowOff>
    </xdr:from>
    <xdr:ext cx="647700" cy="647700"/>
    <xdr:pic>
      <xdr:nvPicPr>
        <xdr:cNvPr id="405" name="photo_411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411</xdr:row>
      <xdr:rowOff>38100</xdr:rowOff>
    </xdr:from>
    <xdr:ext cx="647700" cy="647700"/>
    <xdr:pic>
      <xdr:nvPicPr>
        <xdr:cNvPr id="406" name="photo_412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412</xdr:row>
      <xdr:rowOff>38100</xdr:rowOff>
    </xdr:from>
    <xdr:ext cx="647700" cy="647700"/>
    <xdr:pic>
      <xdr:nvPicPr>
        <xdr:cNvPr id="407" name="photo_413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413</xdr:row>
      <xdr:rowOff>38100</xdr:rowOff>
    </xdr:from>
    <xdr:ext cx="647700" cy="647700"/>
    <xdr:pic>
      <xdr:nvPicPr>
        <xdr:cNvPr id="408" name="photo_414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414</xdr:row>
      <xdr:rowOff>66675</xdr:rowOff>
    </xdr:from>
    <xdr:ext cx="647700" cy="590550"/>
    <xdr:pic>
      <xdr:nvPicPr>
        <xdr:cNvPr id="409" name="photo_415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415</xdr:row>
      <xdr:rowOff>38100</xdr:rowOff>
    </xdr:from>
    <xdr:ext cx="647700" cy="647700"/>
    <xdr:pic>
      <xdr:nvPicPr>
        <xdr:cNvPr id="410" name="photo_416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416</xdr:row>
      <xdr:rowOff>38100</xdr:rowOff>
    </xdr:from>
    <xdr:ext cx="647700" cy="647700"/>
    <xdr:pic>
      <xdr:nvPicPr>
        <xdr:cNvPr id="411" name="photo_417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417</xdr:row>
      <xdr:rowOff>38100</xdr:rowOff>
    </xdr:from>
    <xdr:ext cx="647700" cy="647700"/>
    <xdr:pic>
      <xdr:nvPicPr>
        <xdr:cNvPr id="412" name="photo_418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418</xdr:row>
      <xdr:rowOff>38100</xdr:rowOff>
    </xdr:from>
    <xdr:ext cx="647700" cy="647700"/>
    <xdr:pic>
      <xdr:nvPicPr>
        <xdr:cNvPr id="413" name="photo_419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419</xdr:row>
      <xdr:rowOff>38100</xdr:rowOff>
    </xdr:from>
    <xdr:ext cx="647700" cy="647700"/>
    <xdr:pic>
      <xdr:nvPicPr>
        <xdr:cNvPr id="414" name="photo_420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420</xdr:row>
      <xdr:rowOff>38100</xdr:rowOff>
    </xdr:from>
    <xdr:ext cx="647700" cy="647700"/>
    <xdr:pic>
      <xdr:nvPicPr>
        <xdr:cNvPr id="415" name="photo_421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421</xdr:row>
      <xdr:rowOff>38100</xdr:rowOff>
    </xdr:from>
    <xdr:ext cx="647700" cy="647700"/>
    <xdr:pic>
      <xdr:nvPicPr>
        <xdr:cNvPr id="416" name="photo_422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422</xdr:row>
      <xdr:rowOff>38100</xdr:rowOff>
    </xdr:from>
    <xdr:ext cx="647700" cy="647700"/>
    <xdr:pic>
      <xdr:nvPicPr>
        <xdr:cNvPr id="417" name="photo_423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423</xdr:row>
      <xdr:rowOff>38100</xdr:rowOff>
    </xdr:from>
    <xdr:ext cx="647700" cy="647700"/>
    <xdr:pic>
      <xdr:nvPicPr>
        <xdr:cNvPr id="418" name="photo_424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424</xdr:row>
      <xdr:rowOff>38100</xdr:rowOff>
    </xdr:from>
    <xdr:ext cx="647700" cy="647700"/>
    <xdr:pic>
      <xdr:nvPicPr>
        <xdr:cNvPr id="419" name="photo_425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425</xdr:row>
      <xdr:rowOff>38100</xdr:rowOff>
    </xdr:from>
    <xdr:ext cx="647700" cy="647700"/>
    <xdr:pic>
      <xdr:nvPicPr>
        <xdr:cNvPr id="420" name="photo_426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426</xdr:row>
      <xdr:rowOff>38100</xdr:rowOff>
    </xdr:from>
    <xdr:ext cx="647700" cy="647700"/>
    <xdr:pic>
      <xdr:nvPicPr>
        <xdr:cNvPr id="421" name="photo_427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427</xdr:row>
      <xdr:rowOff>38100</xdr:rowOff>
    </xdr:from>
    <xdr:ext cx="647700" cy="647700"/>
    <xdr:pic>
      <xdr:nvPicPr>
        <xdr:cNvPr id="422" name="photo_428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428</xdr:row>
      <xdr:rowOff>38100</xdr:rowOff>
    </xdr:from>
    <xdr:ext cx="647700" cy="647700"/>
    <xdr:pic>
      <xdr:nvPicPr>
        <xdr:cNvPr id="423" name="photo_429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429</xdr:row>
      <xdr:rowOff>38100</xdr:rowOff>
    </xdr:from>
    <xdr:ext cx="647700" cy="647700"/>
    <xdr:pic>
      <xdr:nvPicPr>
        <xdr:cNvPr id="424" name="photo_430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430</xdr:row>
      <xdr:rowOff>38100</xdr:rowOff>
    </xdr:from>
    <xdr:ext cx="647700" cy="647700"/>
    <xdr:pic>
      <xdr:nvPicPr>
        <xdr:cNvPr id="425" name="photo_431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431</xdr:row>
      <xdr:rowOff>38100</xdr:rowOff>
    </xdr:from>
    <xdr:ext cx="647700" cy="647700"/>
    <xdr:pic>
      <xdr:nvPicPr>
        <xdr:cNvPr id="426" name="photo_432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432</xdr:row>
      <xdr:rowOff>38100</xdr:rowOff>
    </xdr:from>
    <xdr:ext cx="647700" cy="647700"/>
    <xdr:pic>
      <xdr:nvPicPr>
        <xdr:cNvPr id="427" name="photo_433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433</xdr:row>
      <xdr:rowOff>123825</xdr:rowOff>
    </xdr:from>
    <xdr:ext cx="647700" cy="485775"/>
    <xdr:pic>
      <xdr:nvPicPr>
        <xdr:cNvPr id="428" name="photo_434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434</xdr:row>
      <xdr:rowOff>38100</xdr:rowOff>
    </xdr:from>
    <xdr:ext cx="647700" cy="647700"/>
    <xdr:pic>
      <xdr:nvPicPr>
        <xdr:cNvPr id="429" name="photo_435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435</xdr:row>
      <xdr:rowOff>38100</xdr:rowOff>
    </xdr:from>
    <xdr:ext cx="647700" cy="647700"/>
    <xdr:pic>
      <xdr:nvPicPr>
        <xdr:cNvPr id="430" name="photo_436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436</xdr:row>
      <xdr:rowOff>38100</xdr:rowOff>
    </xdr:from>
    <xdr:ext cx="647700" cy="647700"/>
    <xdr:pic>
      <xdr:nvPicPr>
        <xdr:cNvPr id="431" name="photo_437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437</xdr:row>
      <xdr:rowOff>38100</xdr:rowOff>
    </xdr:from>
    <xdr:ext cx="647700" cy="647700"/>
    <xdr:pic>
      <xdr:nvPicPr>
        <xdr:cNvPr id="432" name="photo_438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438</xdr:row>
      <xdr:rowOff>38100</xdr:rowOff>
    </xdr:from>
    <xdr:ext cx="647700" cy="647700"/>
    <xdr:pic>
      <xdr:nvPicPr>
        <xdr:cNvPr id="433" name="photo_439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439</xdr:row>
      <xdr:rowOff>38100</xdr:rowOff>
    </xdr:from>
    <xdr:ext cx="647700" cy="647700"/>
    <xdr:pic>
      <xdr:nvPicPr>
        <xdr:cNvPr id="434" name="photo_440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440</xdr:row>
      <xdr:rowOff>38100</xdr:rowOff>
    </xdr:from>
    <xdr:ext cx="647700" cy="647700"/>
    <xdr:pic>
      <xdr:nvPicPr>
        <xdr:cNvPr id="435" name="photo_441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441</xdr:row>
      <xdr:rowOff>38100</xdr:rowOff>
    </xdr:from>
    <xdr:ext cx="647700" cy="647700"/>
    <xdr:pic>
      <xdr:nvPicPr>
        <xdr:cNvPr id="436" name="photo_442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442</xdr:row>
      <xdr:rowOff>38100</xdr:rowOff>
    </xdr:from>
    <xdr:ext cx="361950" cy="647700"/>
    <xdr:pic>
      <xdr:nvPicPr>
        <xdr:cNvPr id="437" name="photo_443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443</xdr:row>
      <xdr:rowOff>38100</xdr:rowOff>
    </xdr:from>
    <xdr:ext cx="361950" cy="647700"/>
    <xdr:pic>
      <xdr:nvPicPr>
        <xdr:cNvPr id="438" name="photo_444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444</xdr:row>
      <xdr:rowOff>38100</xdr:rowOff>
    </xdr:from>
    <xdr:ext cx="647700" cy="647700"/>
    <xdr:pic>
      <xdr:nvPicPr>
        <xdr:cNvPr id="439" name="photo_445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445</xdr:row>
      <xdr:rowOff>38100</xdr:rowOff>
    </xdr:from>
    <xdr:ext cx="647700" cy="647700"/>
    <xdr:pic>
      <xdr:nvPicPr>
        <xdr:cNvPr id="440" name="photo_446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446</xdr:row>
      <xdr:rowOff>38100</xdr:rowOff>
    </xdr:from>
    <xdr:ext cx="647700" cy="647700"/>
    <xdr:pic>
      <xdr:nvPicPr>
        <xdr:cNvPr id="441" name="photo_447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447</xdr:row>
      <xdr:rowOff>38100</xdr:rowOff>
    </xdr:from>
    <xdr:ext cx="647700" cy="647700"/>
    <xdr:pic>
      <xdr:nvPicPr>
        <xdr:cNvPr id="442" name="photo_448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448</xdr:row>
      <xdr:rowOff>38100</xdr:rowOff>
    </xdr:from>
    <xdr:ext cx="647700" cy="647700"/>
    <xdr:pic>
      <xdr:nvPicPr>
        <xdr:cNvPr id="443" name="photo_449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449</xdr:row>
      <xdr:rowOff>38100</xdr:rowOff>
    </xdr:from>
    <xdr:ext cx="647700" cy="647700"/>
    <xdr:pic>
      <xdr:nvPicPr>
        <xdr:cNvPr id="444" name="photo_450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450</xdr:row>
      <xdr:rowOff>38100</xdr:rowOff>
    </xdr:from>
    <xdr:ext cx="647700" cy="647700"/>
    <xdr:pic>
      <xdr:nvPicPr>
        <xdr:cNvPr id="445" name="photo_451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451</xdr:row>
      <xdr:rowOff>38100</xdr:rowOff>
    </xdr:from>
    <xdr:ext cx="647700" cy="647700"/>
    <xdr:pic>
      <xdr:nvPicPr>
        <xdr:cNvPr id="446" name="photo_452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452</xdr:row>
      <xdr:rowOff>38100</xdr:rowOff>
    </xdr:from>
    <xdr:ext cx="647700" cy="647700"/>
    <xdr:pic>
      <xdr:nvPicPr>
        <xdr:cNvPr id="447" name="photo_453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453</xdr:row>
      <xdr:rowOff>38100</xdr:rowOff>
    </xdr:from>
    <xdr:ext cx="647700" cy="647700"/>
    <xdr:pic>
      <xdr:nvPicPr>
        <xdr:cNvPr id="448" name="photo_454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454</xdr:row>
      <xdr:rowOff>38100</xdr:rowOff>
    </xdr:from>
    <xdr:ext cx="647700" cy="647700"/>
    <xdr:pic>
      <xdr:nvPicPr>
        <xdr:cNvPr id="449" name="photo_455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455</xdr:row>
      <xdr:rowOff>38100</xdr:rowOff>
    </xdr:from>
    <xdr:ext cx="647700" cy="647700"/>
    <xdr:pic>
      <xdr:nvPicPr>
        <xdr:cNvPr id="450" name="photo_456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456</xdr:row>
      <xdr:rowOff>38100</xdr:rowOff>
    </xdr:from>
    <xdr:ext cx="647700" cy="647700"/>
    <xdr:pic>
      <xdr:nvPicPr>
        <xdr:cNvPr id="451" name="photo_457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457</xdr:row>
      <xdr:rowOff>38100</xdr:rowOff>
    </xdr:from>
    <xdr:ext cx="647700" cy="647700"/>
    <xdr:pic>
      <xdr:nvPicPr>
        <xdr:cNvPr id="452" name="photo_458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458</xdr:row>
      <xdr:rowOff>38100</xdr:rowOff>
    </xdr:from>
    <xdr:ext cx="647700" cy="647700"/>
    <xdr:pic>
      <xdr:nvPicPr>
        <xdr:cNvPr id="453" name="photo_459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459</xdr:row>
      <xdr:rowOff>38100</xdr:rowOff>
    </xdr:from>
    <xdr:ext cx="647700" cy="647700"/>
    <xdr:pic>
      <xdr:nvPicPr>
        <xdr:cNvPr id="454" name="photo_460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460</xdr:row>
      <xdr:rowOff>38100</xdr:rowOff>
    </xdr:from>
    <xdr:ext cx="647700" cy="647700"/>
    <xdr:pic>
      <xdr:nvPicPr>
        <xdr:cNvPr id="455" name="photo_461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461</xdr:row>
      <xdr:rowOff>38100</xdr:rowOff>
    </xdr:from>
    <xdr:ext cx="647700" cy="647700"/>
    <xdr:pic>
      <xdr:nvPicPr>
        <xdr:cNvPr id="456" name="photo_462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462</xdr:row>
      <xdr:rowOff>38100</xdr:rowOff>
    </xdr:from>
    <xdr:ext cx="647700" cy="647700"/>
    <xdr:pic>
      <xdr:nvPicPr>
        <xdr:cNvPr id="457" name="photo_463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463</xdr:row>
      <xdr:rowOff>38100</xdr:rowOff>
    </xdr:from>
    <xdr:ext cx="647700" cy="647700"/>
    <xdr:pic>
      <xdr:nvPicPr>
        <xdr:cNvPr id="458" name="photo_464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464</xdr:row>
      <xdr:rowOff>38100</xdr:rowOff>
    </xdr:from>
    <xdr:ext cx="647700" cy="647700"/>
    <xdr:pic>
      <xdr:nvPicPr>
        <xdr:cNvPr id="459" name="photo_465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465</xdr:row>
      <xdr:rowOff>38100</xdr:rowOff>
    </xdr:from>
    <xdr:ext cx="647700" cy="647700"/>
    <xdr:pic>
      <xdr:nvPicPr>
        <xdr:cNvPr id="460" name="photo_466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466</xdr:row>
      <xdr:rowOff>38100</xdr:rowOff>
    </xdr:from>
    <xdr:ext cx="647700" cy="647700"/>
    <xdr:pic>
      <xdr:nvPicPr>
        <xdr:cNvPr id="461" name="photo_467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467</xdr:row>
      <xdr:rowOff>38100</xdr:rowOff>
    </xdr:from>
    <xdr:ext cx="647700" cy="647700"/>
    <xdr:pic>
      <xdr:nvPicPr>
        <xdr:cNvPr id="462" name="photo_468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468</xdr:row>
      <xdr:rowOff>38100</xdr:rowOff>
    </xdr:from>
    <xdr:ext cx="647700" cy="647700"/>
    <xdr:pic>
      <xdr:nvPicPr>
        <xdr:cNvPr id="463" name="photo_469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469</xdr:row>
      <xdr:rowOff>38100</xdr:rowOff>
    </xdr:from>
    <xdr:ext cx="647700" cy="647700"/>
    <xdr:pic>
      <xdr:nvPicPr>
        <xdr:cNvPr id="464" name="photo_470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470</xdr:row>
      <xdr:rowOff>38100</xdr:rowOff>
    </xdr:from>
    <xdr:ext cx="647700" cy="647700"/>
    <xdr:pic>
      <xdr:nvPicPr>
        <xdr:cNvPr id="465" name="photo_471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471</xdr:row>
      <xdr:rowOff>38100</xdr:rowOff>
    </xdr:from>
    <xdr:ext cx="647700" cy="647700"/>
    <xdr:pic>
      <xdr:nvPicPr>
        <xdr:cNvPr id="466" name="photo_472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472</xdr:row>
      <xdr:rowOff>38100</xdr:rowOff>
    </xdr:from>
    <xdr:ext cx="647700" cy="647700"/>
    <xdr:pic>
      <xdr:nvPicPr>
        <xdr:cNvPr id="467" name="photo_473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473</xdr:row>
      <xdr:rowOff>38100</xdr:rowOff>
    </xdr:from>
    <xdr:ext cx="647700" cy="647700"/>
    <xdr:pic>
      <xdr:nvPicPr>
        <xdr:cNvPr id="468" name="photo_474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474</xdr:row>
      <xdr:rowOff>38100</xdr:rowOff>
    </xdr:from>
    <xdr:ext cx="647700" cy="647700"/>
    <xdr:pic>
      <xdr:nvPicPr>
        <xdr:cNvPr id="469" name="photo_475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475</xdr:row>
      <xdr:rowOff>38100</xdr:rowOff>
    </xdr:from>
    <xdr:ext cx="647700" cy="647700"/>
    <xdr:pic>
      <xdr:nvPicPr>
        <xdr:cNvPr id="470" name="photo_476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476</xdr:row>
      <xdr:rowOff>38100</xdr:rowOff>
    </xdr:from>
    <xdr:ext cx="647700" cy="647700"/>
    <xdr:pic>
      <xdr:nvPicPr>
        <xdr:cNvPr id="471" name="photo_477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477</xdr:row>
      <xdr:rowOff>38100</xdr:rowOff>
    </xdr:from>
    <xdr:ext cx="647700" cy="647700"/>
    <xdr:pic>
      <xdr:nvPicPr>
        <xdr:cNvPr id="472" name="photo_478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478</xdr:row>
      <xdr:rowOff>38100</xdr:rowOff>
    </xdr:from>
    <xdr:ext cx="647700" cy="647700"/>
    <xdr:pic>
      <xdr:nvPicPr>
        <xdr:cNvPr id="473" name="photo_479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479</xdr:row>
      <xdr:rowOff>38100</xdr:rowOff>
    </xdr:from>
    <xdr:ext cx="647700" cy="647700"/>
    <xdr:pic>
      <xdr:nvPicPr>
        <xdr:cNvPr id="474" name="photo_480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480</xdr:row>
      <xdr:rowOff>38100</xdr:rowOff>
    </xdr:from>
    <xdr:ext cx="647700" cy="647700"/>
    <xdr:pic>
      <xdr:nvPicPr>
        <xdr:cNvPr id="475" name="photo_481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481</xdr:row>
      <xdr:rowOff>38100</xdr:rowOff>
    </xdr:from>
    <xdr:ext cx="647700" cy="647700"/>
    <xdr:pic>
      <xdr:nvPicPr>
        <xdr:cNvPr id="476" name="photo_482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482</xdr:row>
      <xdr:rowOff>38100</xdr:rowOff>
    </xdr:from>
    <xdr:ext cx="647700" cy="647700"/>
    <xdr:pic>
      <xdr:nvPicPr>
        <xdr:cNvPr id="477" name="photo_483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483</xdr:row>
      <xdr:rowOff>38100</xdr:rowOff>
    </xdr:from>
    <xdr:ext cx="647700" cy="647700"/>
    <xdr:pic>
      <xdr:nvPicPr>
        <xdr:cNvPr id="478" name="photo_484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484</xdr:row>
      <xdr:rowOff>38100</xdr:rowOff>
    </xdr:from>
    <xdr:ext cx="647700" cy="647700"/>
    <xdr:pic>
      <xdr:nvPicPr>
        <xdr:cNvPr id="479" name="photo_485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485</xdr:row>
      <xdr:rowOff>38100</xdr:rowOff>
    </xdr:from>
    <xdr:ext cx="647700" cy="647700"/>
    <xdr:pic>
      <xdr:nvPicPr>
        <xdr:cNvPr id="480" name="photo_486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486</xdr:row>
      <xdr:rowOff>38100</xdr:rowOff>
    </xdr:from>
    <xdr:ext cx="647700" cy="647700"/>
    <xdr:pic>
      <xdr:nvPicPr>
        <xdr:cNvPr id="481" name="photo_487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487</xdr:row>
      <xdr:rowOff>38100</xdr:rowOff>
    </xdr:from>
    <xdr:ext cx="647700" cy="647700"/>
    <xdr:pic>
      <xdr:nvPicPr>
        <xdr:cNvPr id="482" name="photo_488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488</xdr:row>
      <xdr:rowOff>38100</xdr:rowOff>
    </xdr:from>
    <xdr:ext cx="647700" cy="647700"/>
    <xdr:pic>
      <xdr:nvPicPr>
        <xdr:cNvPr id="483" name="photo_489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489</xdr:row>
      <xdr:rowOff>38100</xdr:rowOff>
    </xdr:from>
    <xdr:ext cx="647700" cy="647700"/>
    <xdr:pic>
      <xdr:nvPicPr>
        <xdr:cNvPr id="484" name="photo_490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490</xdr:row>
      <xdr:rowOff>38100</xdr:rowOff>
    </xdr:from>
    <xdr:ext cx="647700" cy="647700"/>
    <xdr:pic>
      <xdr:nvPicPr>
        <xdr:cNvPr id="485" name="photo_491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491</xdr:row>
      <xdr:rowOff>38100</xdr:rowOff>
    </xdr:from>
    <xdr:ext cx="647700" cy="647700"/>
    <xdr:pic>
      <xdr:nvPicPr>
        <xdr:cNvPr id="486" name="photo_492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492</xdr:row>
      <xdr:rowOff>38100</xdr:rowOff>
    </xdr:from>
    <xdr:ext cx="647700" cy="647700"/>
    <xdr:pic>
      <xdr:nvPicPr>
        <xdr:cNvPr id="487" name="photo_493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493</xdr:row>
      <xdr:rowOff>38100</xdr:rowOff>
    </xdr:from>
    <xdr:ext cx="647700" cy="647700"/>
    <xdr:pic>
      <xdr:nvPicPr>
        <xdr:cNvPr id="488" name="photo_494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494</xdr:row>
      <xdr:rowOff>38100</xdr:rowOff>
    </xdr:from>
    <xdr:ext cx="647700" cy="647700"/>
    <xdr:pic>
      <xdr:nvPicPr>
        <xdr:cNvPr id="489" name="photo_495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495</xdr:row>
      <xdr:rowOff>38100</xdr:rowOff>
    </xdr:from>
    <xdr:ext cx="647700" cy="647700"/>
    <xdr:pic>
      <xdr:nvPicPr>
        <xdr:cNvPr id="490" name="photo_496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496</xdr:row>
      <xdr:rowOff>38100</xdr:rowOff>
    </xdr:from>
    <xdr:ext cx="647700" cy="647700"/>
    <xdr:pic>
      <xdr:nvPicPr>
        <xdr:cNvPr id="491" name="photo_497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497</xdr:row>
      <xdr:rowOff>38100</xdr:rowOff>
    </xdr:from>
    <xdr:ext cx="647700" cy="647700"/>
    <xdr:pic>
      <xdr:nvPicPr>
        <xdr:cNvPr id="492" name="photo_498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498</xdr:row>
      <xdr:rowOff>38100</xdr:rowOff>
    </xdr:from>
    <xdr:ext cx="647700" cy="647700"/>
    <xdr:pic>
      <xdr:nvPicPr>
        <xdr:cNvPr id="493" name="photo_499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499</xdr:row>
      <xdr:rowOff>38100</xdr:rowOff>
    </xdr:from>
    <xdr:ext cx="647700" cy="647700"/>
    <xdr:pic>
      <xdr:nvPicPr>
        <xdr:cNvPr id="494" name="photo_500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500</xdr:row>
      <xdr:rowOff>38100</xdr:rowOff>
    </xdr:from>
    <xdr:ext cx="647700" cy="647700"/>
    <xdr:pic>
      <xdr:nvPicPr>
        <xdr:cNvPr id="495" name="photo_501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501</xdr:row>
      <xdr:rowOff>38100</xdr:rowOff>
    </xdr:from>
    <xdr:ext cx="647700" cy="647700"/>
    <xdr:pic>
      <xdr:nvPicPr>
        <xdr:cNvPr id="496" name="photo_502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502</xdr:row>
      <xdr:rowOff>38100</xdr:rowOff>
    </xdr:from>
    <xdr:ext cx="647700" cy="647700"/>
    <xdr:pic>
      <xdr:nvPicPr>
        <xdr:cNvPr id="497" name="photo_503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503</xdr:row>
      <xdr:rowOff>38100</xdr:rowOff>
    </xdr:from>
    <xdr:ext cx="647700" cy="647700"/>
    <xdr:pic>
      <xdr:nvPicPr>
        <xdr:cNvPr id="498" name="photo_504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504</xdr:row>
      <xdr:rowOff>38100</xdr:rowOff>
    </xdr:from>
    <xdr:ext cx="647700" cy="647700"/>
    <xdr:pic>
      <xdr:nvPicPr>
        <xdr:cNvPr id="499" name="photo_505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505</xdr:row>
      <xdr:rowOff>38100</xdr:rowOff>
    </xdr:from>
    <xdr:ext cx="647700" cy="647700"/>
    <xdr:pic>
      <xdr:nvPicPr>
        <xdr:cNvPr id="500" name="photo_506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506</xdr:row>
      <xdr:rowOff>38100</xdr:rowOff>
    </xdr:from>
    <xdr:ext cx="647700" cy="647700"/>
    <xdr:pic>
      <xdr:nvPicPr>
        <xdr:cNvPr id="501" name="photo_507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508</xdr:row>
      <xdr:rowOff>38100</xdr:rowOff>
    </xdr:from>
    <xdr:ext cx="647700" cy="647700"/>
    <xdr:pic>
      <xdr:nvPicPr>
        <xdr:cNvPr id="502" name="photo_509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509</xdr:row>
      <xdr:rowOff>38100</xdr:rowOff>
    </xdr:from>
    <xdr:ext cx="647700" cy="647700"/>
    <xdr:pic>
      <xdr:nvPicPr>
        <xdr:cNvPr id="503" name="photo_510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510</xdr:row>
      <xdr:rowOff>38100</xdr:rowOff>
    </xdr:from>
    <xdr:ext cx="647700" cy="647700"/>
    <xdr:pic>
      <xdr:nvPicPr>
        <xdr:cNvPr id="504" name="photo_511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511</xdr:row>
      <xdr:rowOff>38100</xdr:rowOff>
    </xdr:from>
    <xdr:ext cx="647700" cy="647700"/>
    <xdr:pic>
      <xdr:nvPicPr>
        <xdr:cNvPr id="505" name="photo_512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512</xdr:row>
      <xdr:rowOff>38100</xdr:rowOff>
    </xdr:from>
    <xdr:ext cx="647700" cy="647700"/>
    <xdr:pic>
      <xdr:nvPicPr>
        <xdr:cNvPr id="506" name="photo_513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513</xdr:row>
      <xdr:rowOff>38100</xdr:rowOff>
    </xdr:from>
    <xdr:ext cx="647700" cy="647700"/>
    <xdr:pic>
      <xdr:nvPicPr>
        <xdr:cNvPr id="507" name="photo_514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514</xdr:row>
      <xdr:rowOff>38100</xdr:rowOff>
    </xdr:from>
    <xdr:ext cx="647700" cy="647700"/>
    <xdr:pic>
      <xdr:nvPicPr>
        <xdr:cNvPr id="508" name="photo_515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515</xdr:row>
      <xdr:rowOff>38100</xdr:rowOff>
    </xdr:from>
    <xdr:ext cx="647700" cy="647700"/>
    <xdr:pic>
      <xdr:nvPicPr>
        <xdr:cNvPr id="509" name="photo_516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516</xdr:row>
      <xdr:rowOff>38100</xdr:rowOff>
    </xdr:from>
    <xdr:ext cx="647700" cy="647700"/>
    <xdr:pic>
      <xdr:nvPicPr>
        <xdr:cNvPr id="510" name="photo_517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517</xdr:row>
      <xdr:rowOff>38100</xdr:rowOff>
    </xdr:from>
    <xdr:ext cx="647700" cy="647700"/>
    <xdr:pic>
      <xdr:nvPicPr>
        <xdr:cNvPr id="511" name="photo_518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518</xdr:row>
      <xdr:rowOff>66675</xdr:rowOff>
    </xdr:from>
    <xdr:ext cx="647700" cy="590550"/>
    <xdr:pic>
      <xdr:nvPicPr>
        <xdr:cNvPr id="512" name="photo_519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519</xdr:row>
      <xdr:rowOff>95250</xdr:rowOff>
    </xdr:from>
    <xdr:ext cx="647700" cy="533400"/>
    <xdr:pic>
      <xdr:nvPicPr>
        <xdr:cNvPr id="513" name="photo_520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520</xdr:row>
      <xdr:rowOff>38100</xdr:rowOff>
    </xdr:from>
    <xdr:ext cx="647700" cy="647700"/>
    <xdr:pic>
      <xdr:nvPicPr>
        <xdr:cNvPr id="514" name="photo_521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521</xdr:row>
      <xdr:rowOff>38100</xdr:rowOff>
    </xdr:from>
    <xdr:ext cx="647700" cy="647700"/>
    <xdr:pic>
      <xdr:nvPicPr>
        <xdr:cNvPr id="515" name="photo_522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522</xdr:row>
      <xdr:rowOff>38100</xdr:rowOff>
    </xdr:from>
    <xdr:ext cx="647700" cy="647700"/>
    <xdr:pic>
      <xdr:nvPicPr>
        <xdr:cNvPr id="516" name="photo_523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523</xdr:row>
      <xdr:rowOff>38100</xdr:rowOff>
    </xdr:from>
    <xdr:ext cx="647700" cy="647700"/>
    <xdr:pic>
      <xdr:nvPicPr>
        <xdr:cNvPr id="517" name="photo_524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524</xdr:row>
      <xdr:rowOff>38100</xdr:rowOff>
    </xdr:from>
    <xdr:ext cx="647700" cy="647700"/>
    <xdr:pic>
      <xdr:nvPicPr>
        <xdr:cNvPr id="518" name="photo_525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525</xdr:row>
      <xdr:rowOff>38100</xdr:rowOff>
    </xdr:from>
    <xdr:ext cx="647700" cy="647700"/>
    <xdr:pic>
      <xdr:nvPicPr>
        <xdr:cNvPr id="519" name="photo_526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526</xdr:row>
      <xdr:rowOff>38100</xdr:rowOff>
    </xdr:from>
    <xdr:ext cx="647700" cy="647700"/>
    <xdr:pic>
      <xdr:nvPicPr>
        <xdr:cNvPr id="520" name="photo_527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527</xdr:row>
      <xdr:rowOff>38100</xdr:rowOff>
    </xdr:from>
    <xdr:ext cx="647700" cy="647700"/>
    <xdr:pic>
      <xdr:nvPicPr>
        <xdr:cNvPr id="521" name="photo_528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528</xdr:row>
      <xdr:rowOff>38100</xdr:rowOff>
    </xdr:from>
    <xdr:ext cx="647700" cy="647700"/>
    <xdr:pic>
      <xdr:nvPicPr>
        <xdr:cNvPr id="522" name="photo_529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529</xdr:row>
      <xdr:rowOff>38100</xdr:rowOff>
    </xdr:from>
    <xdr:ext cx="647700" cy="647700"/>
    <xdr:pic>
      <xdr:nvPicPr>
        <xdr:cNvPr id="523" name="photo_530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530</xdr:row>
      <xdr:rowOff>38100</xdr:rowOff>
    </xdr:from>
    <xdr:ext cx="647700" cy="647700"/>
    <xdr:pic>
      <xdr:nvPicPr>
        <xdr:cNvPr id="524" name="photo_531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531</xdr:row>
      <xdr:rowOff>38100</xdr:rowOff>
    </xdr:from>
    <xdr:ext cx="647700" cy="647700"/>
    <xdr:pic>
      <xdr:nvPicPr>
        <xdr:cNvPr id="525" name="photo_532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532</xdr:row>
      <xdr:rowOff>38100</xdr:rowOff>
    </xdr:from>
    <xdr:ext cx="647700" cy="647700"/>
    <xdr:pic>
      <xdr:nvPicPr>
        <xdr:cNvPr id="526" name="photo_533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533</xdr:row>
      <xdr:rowOff>38100</xdr:rowOff>
    </xdr:from>
    <xdr:ext cx="647700" cy="647700"/>
    <xdr:pic>
      <xdr:nvPicPr>
        <xdr:cNvPr id="527" name="photo_534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534</xdr:row>
      <xdr:rowOff>38100</xdr:rowOff>
    </xdr:from>
    <xdr:ext cx="647700" cy="647700"/>
    <xdr:pic>
      <xdr:nvPicPr>
        <xdr:cNvPr id="528" name="photo_535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535</xdr:row>
      <xdr:rowOff>38100</xdr:rowOff>
    </xdr:from>
    <xdr:ext cx="647700" cy="647700"/>
    <xdr:pic>
      <xdr:nvPicPr>
        <xdr:cNvPr id="529" name="photo_536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536</xdr:row>
      <xdr:rowOff>38100</xdr:rowOff>
    </xdr:from>
    <xdr:ext cx="647700" cy="647700"/>
    <xdr:pic>
      <xdr:nvPicPr>
        <xdr:cNvPr id="530" name="photo_537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537</xdr:row>
      <xdr:rowOff>38100</xdr:rowOff>
    </xdr:from>
    <xdr:ext cx="647700" cy="647700"/>
    <xdr:pic>
      <xdr:nvPicPr>
        <xdr:cNvPr id="531" name="photo_538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538</xdr:row>
      <xdr:rowOff>38100</xdr:rowOff>
    </xdr:from>
    <xdr:ext cx="647700" cy="647700"/>
    <xdr:pic>
      <xdr:nvPicPr>
        <xdr:cNvPr id="532" name="photo_539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539</xdr:row>
      <xdr:rowOff>38100</xdr:rowOff>
    </xdr:from>
    <xdr:ext cx="647700" cy="647700"/>
    <xdr:pic>
      <xdr:nvPicPr>
        <xdr:cNvPr id="533" name="photo_540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540</xdr:row>
      <xdr:rowOff>38100</xdr:rowOff>
    </xdr:from>
    <xdr:ext cx="552450" cy="647700"/>
    <xdr:pic>
      <xdr:nvPicPr>
        <xdr:cNvPr id="534" name="photo_541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541</xdr:row>
      <xdr:rowOff>38100</xdr:rowOff>
    </xdr:from>
    <xdr:ext cx="647700" cy="647700"/>
    <xdr:pic>
      <xdr:nvPicPr>
        <xdr:cNvPr id="535" name="photo_542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542</xdr:row>
      <xdr:rowOff>38100</xdr:rowOff>
    </xdr:from>
    <xdr:ext cx="647700" cy="647700"/>
    <xdr:pic>
      <xdr:nvPicPr>
        <xdr:cNvPr id="536" name="photo_543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543</xdr:row>
      <xdr:rowOff>38100</xdr:rowOff>
    </xdr:from>
    <xdr:ext cx="647700" cy="647700"/>
    <xdr:pic>
      <xdr:nvPicPr>
        <xdr:cNvPr id="537" name="photo_544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544</xdr:row>
      <xdr:rowOff>38100</xdr:rowOff>
    </xdr:from>
    <xdr:ext cx="647700" cy="647700"/>
    <xdr:pic>
      <xdr:nvPicPr>
        <xdr:cNvPr id="538" name="photo_545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545</xdr:row>
      <xdr:rowOff>38100</xdr:rowOff>
    </xdr:from>
    <xdr:ext cx="647700" cy="647700"/>
    <xdr:pic>
      <xdr:nvPicPr>
        <xdr:cNvPr id="539" name="photo_546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546</xdr:row>
      <xdr:rowOff>38100</xdr:rowOff>
    </xdr:from>
    <xdr:ext cx="647700" cy="647700"/>
    <xdr:pic>
      <xdr:nvPicPr>
        <xdr:cNvPr id="540" name="photo_547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547</xdr:row>
      <xdr:rowOff>38100</xdr:rowOff>
    </xdr:from>
    <xdr:ext cx="647700" cy="647700"/>
    <xdr:pic>
      <xdr:nvPicPr>
        <xdr:cNvPr id="541" name="photo_548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548</xdr:row>
      <xdr:rowOff>38100</xdr:rowOff>
    </xdr:from>
    <xdr:ext cx="647700" cy="647700"/>
    <xdr:pic>
      <xdr:nvPicPr>
        <xdr:cNvPr id="542" name="photo_549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549</xdr:row>
      <xdr:rowOff>38100</xdr:rowOff>
    </xdr:from>
    <xdr:ext cx="647700" cy="647700"/>
    <xdr:pic>
      <xdr:nvPicPr>
        <xdr:cNvPr id="543" name="photo_550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550</xdr:row>
      <xdr:rowOff>38100</xdr:rowOff>
    </xdr:from>
    <xdr:ext cx="647700" cy="647700"/>
    <xdr:pic>
      <xdr:nvPicPr>
        <xdr:cNvPr id="544" name="photo_551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551</xdr:row>
      <xdr:rowOff>38100</xdr:rowOff>
    </xdr:from>
    <xdr:ext cx="647700" cy="647700"/>
    <xdr:pic>
      <xdr:nvPicPr>
        <xdr:cNvPr id="545" name="photo_552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552</xdr:row>
      <xdr:rowOff>38100</xdr:rowOff>
    </xdr:from>
    <xdr:ext cx="647700" cy="647700"/>
    <xdr:pic>
      <xdr:nvPicPr>
        <xdr:cNvPr id="546" name="photo_553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553</xdr:row>
      <xdr:rowOff>38100</xdr:rowOff>
    </xdr:from>
    <xdr:ext cx="647700" cy="647700"/>
    <xdr:pic>
      <xdr:nvPicPr>
        <xdr:cNvPr id="547" name="photo_554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554</xdr:row>
      <xdr:rowOff>38100</xdr:rowOff>
    </xdr:from>
    <xdr:ext cx="647700" cy="647700"/>
    <xdr:pic>
      <xdr:nvPicPr>
        <xdr:cNvPr id="548" name="photo_555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555</xdr:row>
      <xdr:rowOff>38100</xdr:rowOff>
    </xdr:from>
    <xdr:ext cx="647700" cy="647700"/>
    <xdr:pic>
      <xdr:nvPicPr>
        <xdr:cNvPr id="549" name="photo_556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556</xdr:row>
      <xdr:rowOff>38100</xdr:rowOff>
    </xdr:from>
    <xdr:ext cx="647700" cy="647700"/>
    <xdr:pic>
      <xdr:nvPicPr>
        <xdr:cNvPr id="550" name="photo_557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557</xdr:row>
      <xdr:rowOff>38100</xdr:rowOff>
    </xdr:from>
    <xdr:ext cx="647700" cy="647700"/>
    <xdr:pic>
      <xdr:nvPicPr>
        <xdr:cNvPr id="551" name="photo_558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558</xdr:row>
      <xdr:rowOff>38100</xdr:rowOff>
    </xdr:from>
    <xdr:ext cx="647700" cy="647700"/>
    <xdr:pic>
      <xdr:nvPicPr>
        <xdr:cNvPr id="552" name="photo_559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559</xdr:row>
      <xdr:rowOff>38100</xdr:rowOff>
    </xdr:from>
    <xdr:ext cx="647700" cy="647700"/>
    <xdr:pic>
      <xdr:nvPicPr>
        <xdr:cNvPr id="553" name="photo_560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560</xdr:row>
      <xdr:rowOff>38100</xdr:rowOff>
    </xdr:from>
    <xdr:ext cx="647700" cy="647700"/>
    <xdr:pic>
      <xdr:nvPicPr>
        <xdr:cNvPr id="554" name="photo_561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561</xdr:row>
      <xdr:rowOff>38100</xdr:rowOff>
    </xdr:from>
    <xdr:ext cx="647700" cy="647700"/>
    <xdr:pic>
      <xdr:nvPicPr>
        <xdr:cNvPr id="555" name="photo_562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562</xdr:row>
      <xdr:rowOff>38100</xdr:rowOff>
    </xdr:from>
    <xdr:ext cx="647700" cy="647700"/>
    <xdr:pic>
      <xdr:nvPicPr>
        <xdr:cNvPr id="556" name="photo_563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563</xdr:row>
      <xdr:rowOff>38100</xdr:rowOff>
    </xdr:from>
    <xdr:ext cx="647700" cy="647700"/>
    <xdr:pic>
      <xdr:nvPicPr>
        <xdr:cNvPr id="557" name="photo_564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564</xdr:row>
      <xdr:rowOff>38100</xdr:rowOff>
    </xdr:from>
    <xdr:ext cx="647700" cy="647700"/>
    <xdr:pic>
      <xdr:nvPicPr>
        <xdr:cNvPr id="558" name="photo_565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565</xdr:row>
      <xdr:rowOff>38100</xdr:rowOff>
    </xdr:from>
    <xdr:ext cx="647700" cy="647700"/>
    <xdr:pic>
      <xdr:nvPicPr>
        <xdr:cNvPr id="559" name="photo_566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566</xdr:row>
      <xdr:rowOff>38100</xdr:rowOff>
    </xdr:from>
    <xdr:ext cx="647700" cy="647700"/>
    <xdr:pic>
      <xdr:nvPicPr>
        <xdr:cNvPr id="560" name="photo_567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567</xdr:row>
      <xdr:rowOff>38100</xdr:rowOff>
    </xdr:from>
    <xdr:ext cx="647700" cy="647700"/>
    <xdr:pic>
      <xdr:nvPicPr>
        <xdr:cNvPr id="561" name="photo_568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568</xdr:row>
      <xdr:rowOff>38100</xdr:rowOff>
    </xdr:from>
    <xdr:ext cx="647700" cy="647700"/>
    <xdr:pic>
      <xdr:nvPicPr>
        <xdr:cNvPr id="562" name="photo_569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569</xdr:row>
      <xdr:rowOff>38100</xdr:rowOff>
    </xdr:from>
    <xdr:ext cx="647700" cy="647700"/>
    <xdr:pic>
      <xdr:nvPicPr>
        <xdr:cNvPr id="563" name="photo_570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570</xdr:row>
      <xdr:rowOff>38100</xdr:rowOff>
    </xdr:from>
    <xdr:ext cx="647700" cy="647700"/>
    <xdr:pic>
      <xdr:nvPicPr>
        <xdr:cNvPr id="564" name="photo_571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571</xdr:row>
      <xdr:rowOff>38100</xdr:rowOff>
    </xdr:from>
    <xdr:ext cx="647700" cy="647700"/>
    <xdr:pic>
      <xdr:nvPicPr>
        <xdr:cNvPr id="565" name="photo_572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572</xdr:row>
      <xdr:rowOff>38100</xdr:rowOff>
    </xdr:from>
    <xdr:ext cx="647700" cy="647700"/>
    <xdr:pic>
      <xdr:nvPicPr>
        <xdr:cNvPr id="566" name="photo_573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573</xdr:row>
      <xdr:rowOff>38100</xdr:rowOff>
    </xdr:from>
    <xdr:ext cx="647700" cy="647700"/>
    <xdr:pic>
      <xdr:nvPicPr>
        <xdr:cNvPr id="567" name="photo_574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574</xdr:row>
      <xdr:rowOff>38100</xdr:rowOff>
    </xdr:from>
    <xdr:ext cx="647700" cy="647700"/>
    <xdr:pic>
      <xdr:nvPicPr>
        <xdr:cNvPr id="568" name="photo_575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575</xdr:row>
      <xdr:rowOff>38100</xdr:rowOff>
    </xdr:from>
    <xdr:ext cx="647700" cy="647700"/>
    <xdr:pic>
      <xdr:nvPicPr>
        <xdr:cNvPr id="569" name="photo_576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576</xdr:row>
      <xdr:rowOff>38100</xdr:rowOff>
    </xdr:from>
    <xdr:ext cx="647700" cy="647700"/>
    <xdr:pic>
      <xdr:nvPicPr>
        <xdr:cNvPr id="570" name="photo_577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577</xdr:row>
      <xdr:rowOff>38100</xdr:rowOff>
    </xdr:from>
    <xdr:ext cx="647700" cy="647700"/>
    <xdr:pic>
      <xdr:nvPicPr>
        <xdr:cNvPr id="571" name="photo_578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578</xdr:row>
      <xdr:rowOff>38100</xdr:rowOff>
    </xdr:from>
    <xdr:ext cx="647700" cy="647700"/>
    <xdr:pic>
      <xdr:nvPicPr>
        <xdr:cNvPr id="572" name="photo_579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579</xdr:row>
      <xdr:rowOff>38100</xdr:rowOff>
    </xdr:from>
    <xdr:ext cx="647700" cy="647700"/>
    <xdr:pic>
      <xdr:nvPicPr>
        <xdr:cNvPr id="573" name="photo_580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580</xdr:row>
      <xdr:rowOff>38100</xdr:rowOff>
    </xdr:from>
    <xdr:ext cx="647700" cy="647700"/>
    <xdr:pic>
      <xdr:nvPicPr>
        <xdr:cNvPr id="574" name="photo_581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581</xdr:row>
      <xdr:rowOff>38100</xdr:rowOff>
    </xdr:from>
    <xdr:ext cx="647700" cy="647700"/>
    <xdr:pic>
      <xdr:nvPicPr>
        <xdr:cNvPr id="575" name="photo_582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582</xdr:row>
      <xdr:rowOff>38100</xdr:rowOff>
    </xdr:from>
    <xdr:ext cx="647700" cy="647700"/>
    <xdr:pic>
      <xdr:nvPicPr>
        <xdr:cNvPr id="576" name="photo_583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583</xdr:row>
      <xdr:rowOff>38100</xdr:rowOff>
    </xdr:from>
    <xdr:ext cx="647700" cy="647700"/>
    <xdr:pic>
      <xdr:nvPicPr>
        <xdr:cNvPr id="577" name="photo_584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584</xdr:row>
      <xdr:rowOff>38100</xdr:rowOff>
    </xdr:from>
    <xdr:ext cx="647700" cy="647700"/>
    <xdr:pic>
      <xdr:nvPicPr>
        <xdr:cNvPr id="578" name="photo_585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585</xdr:row>
      <xdr:rowOff>38100</xdr:rowOff>
    </xdr:from>
    <xdr:ext cx="647700" cy="647700"/>
    <xdr:pic>
      <xdr:nvPicPr>
        <xdr:cNvPr id="579" name="photo_586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586</xdr:row>
      <xdr:rowOff>38100</xdr:rowOff>
    </xdr:from>
    <xdr:ext cx="647700" cy="647700"/>
    <xdr:pic>
      <xdr:nvPicPr>
        <xdr:cNvPr id="580" name="photo_587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587</xdr:row>
      <xdr:rowOff>38100</xdr:rowOff>
    </xdr:from>
    <xdr:ext cx="647700" cy="647700"/>
    <xdr:pic>
      <xdr:nvPicPr>
        <xdr:cNvPr id="581" name="photo_588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588</xdr:row>
      <xdr:rowOff>38100</xdr:rowOff>
    </xdr:from>
    <xdr:ext cx="647700" cy="647700"/>
    <xdr:pic>
      <xdr:nvPicPr>
        <xdr:cNvPr id="582" name="photo_589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589</xdr:row>
      <xdr:rowOff>38100</xdr:rowOff>
    </xdr:from>
    <xdr:ext cx="647700" cy="647700"/>
    <xdr:pic>
      <xdr:nvPicPr>
        <xdr:cNvPr id="583" name="photo_590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590</xdr:row>
      <xdr:rowOff>38100</xdr:rowOff>
    </xdr:from>
    <xdr:ext cx="647700" cy="647700"/>
    <xdr:pic>
      <xdr:nvPicPr>
        <xdr:cNvPr id="584" name="photo_591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591</xdr:row>
      <xdr:rowOff>38100</xdr:rowOff>
    </xdr:from>
    <xdr:ext cx="647700" cy="647700"/>
    <xdr:pic>
      <xdr:nvPicPr>
        <xdr:cNvPr id="585" name="photo_592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592</xdr:row>
      <xdr:rowOff>38100</xdr:rowOff>
    </xdr:from>
    <xdr:ext cx="647700" cy="647700"/>
    <xdr:pic>
      <xdr:nvPicPr>
        <xdr:cNvPr id="586" name="photo_593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593</xdr:row>
      <xdr:rowOff>38100</xdr:rowOff>
    </xdr:from>
    <xdr:ext cx="647700" cy="647700"/>
    <xdr:pic>
      <xdr:nvPicPr>
        <xdr:cNvPr id="587" name="photo_594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594</xdr:row>
      <xdr:rowOff>38100</xdr:rowOff>
    </xdr:from>
    <xdr:ext cx="647700" cy="647700"/>
    <xdr:pic>
      <xdr:nvPicPr>
        <xdr:cNvPr id="588" name="photo_595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595</xdr:row>
      <xdr:rowOff>38100</xdr:rowOff>
    </xdr:from>
    <xdr:ext cx="647700" cy="647700"/>
    <xdr:pic>
      <xdr:nvPicPr>
        <xdr:cNvPr id="589" name="photo_596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596</xdr:row>
      <xdr:rowOff>38100</xdr:rowOff>
    </xdr:from>
    <xdr:ext cx="647700" cy="647700"/>
    <xdr:pic>
      <xdr:nvPicPr>
        <xdr:cNvPr id="590" name="photo_597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597</xdr:row>
      <xdr:rowOff>171450</xdr:rowOff>
    </xdr:from>
    <xdr:ext cx="647700" cy="381000"/>
    <xdr:pic>
      <xdr:nvPicPr>
        <xdr:cNvPr id="591" name="photo_598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598</xdr:row>
      <xdr:rowOff>38100</xdr:rowOff>
    </xdr:from>
    <xdr:ext cx="647700" cy="647700"/>
    <xdr:pic>
      <xdr:nvPicPr>
        <xdr:cNvPr id="592" name="photo_599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599</xdr:row>
      <xdr:rowOff>38100</xdr:rowOff>
    </xdr:from>
    <xdr:ext cx="647700" cy="647700"/>
    <xdr:pic>
      <xdr:nvPicPr>
        <xdr:cNvPr id="593" name="photo_600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600</xdr:row>
      <xdr:rowOff>38100</xdr:rowOff>
    </xdr:from>
    <xdr:ext cx="647700" cy="647700"/>
    <xdr:pic>
      <xdr:nvPicPr>
        <xdr:cNvPr id="594" name="photo_601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601</xdr:row>
      <xdr:rowOff>38100</xdr:rowOff>
    </xdr:from>
    <xdr:ext cx="647700" cy="647700"/>
    <xdr:pic>
      <xdr:nvPicPr>
        <xdr:cNvPr id="595" name="photo_602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602</xdr:row>
      <xdr:rowOff>38100</xdr:rowOff>
    </xdr:from>
    <xdr:ext cx="647700" cy="647700"/>
    <xdr:pic>
      <xdr:nvPicPr>
        <xdr:cNvPr id="596" name="photo_603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603</xdr:row>
      <xdr:rowOff>38100</xdr:rowOff>
    </xdr:from>
    <xdr:ext cx="647700" cy="647700"/>
    <xdr:pic>
      <xdr:nvPicPr>
        <xdr:cNvPr id="597" name="photo_604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604</xdr:row>
      <xdr:rowOff>38100</xdr:rowOff>
    </xdr:from>
    <xdr:ext cx="647700" cy="647700"/>
    <xdr:pic>
      <xdr:nvPicPr>
        <xdr:cNvPr id="598" name="photo_605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605</xdr:row>
      <xdr:rowOff>38100</xdr:rowOff>
    </xdr:from>
    <xdr:ext cx="647700" cy="647700"/>
    <xdr:pic>
      <xdr:nvPicPr>
        <xdr:cNvPr id="599" name="photo_606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606</xdr:row>
      <xdr:rowOff>38100</xdr:rowOff>
    </xdr:from>
    <xdr:ext cx="647700" cy="647700"/>
    <xdr:pic>
      <xdr:nvPicPr>
        <xdr:cNvPr id="600" name="photo_607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607</xdr:row>
      <xdr:rowOff>38100</xdr:rowOff>
    </xdr:from>
    <xdr:ext cx="647700" cy="647700"/>
    <xdr:pic>
      <xdr:nvPicPr>
        <xdr:cNvPr id="601" name="photo_608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608</xdr:row>
      <xdr:rowOff>38100</xdr:rowOff>
    </xdr:from>
    <xdr:ext cx="647700" cy="647700"/>
    <xdr:pic>
      <xdr:nvPicPr>
        <xdr:cNvPr id="602" name="photo_609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609</xdr:row>
      <xdr:rowOff>38100</xdr:rowOff>
    </xdr:from>
    <xdr:ext cx="647700" cy="647700"/>
    <xdr:pic>
      <xdr:nvPicPr>
        <xdr:cNvPr id="603" name="photo_610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610</xdr:row>
      <xdr:rowOff>38100</xdr:rowOff>
    </xdr:from>
    <xdr:ext cx="647700" cy="647700"/>
    <xdr:pic>
      <xdr:nvPicPr>
        <xdr:cNvPr id="604" name="photo_611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611</xdr:row>
      <xdr:rowOff>38100</xdr:rowOff>
    </xdr:from>
    <xdr:ext cx="647700" cy="647700"/>
    <xdr:pic>
      <xdr:nvPicPr>
        <xdr:cNvPr id="605" name="photo_612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612</xdr:row>
      <xdr:rowOff>38100</xdr:rowOff>
    </xdr:from>
    <xdr:ext cx="647700" cy="647700"/>
    <xdr:pic>
      <xdr:nvPicPr>
        <xdr:cNvPr id="606" name="photo_613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613</xdr:row>
      <xdr:rowOff>38100</xdr:rowOff>
    </xdr:from>
    <xdr:ext cx="647700" cy="647700"/>
    <xdr:pic>
      <xdr:nvPicPr>
        <xdr:cNvPr id="607" name="photo_614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614</xdr:row>
      <xdr:rowOff>38100</xdr:rowOff>
    </xdr:from>
    <xdr:ext cx="647700" cy="647700"/>
    <xdr:pic>
      <xdr:nvPicPr>
        <xdr:cNvPr id="608" name="photo_615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615</xdr:row>
      <xdr:rowOff>38100</xdr:rowOff>
    </xdr:from>
    <xdr:ext cx="428625" cy="647700"/>
    <xdr:pic>
      <xdr:nvPicPr>
        <xdr:cNvPr id="609" name="photo_616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616</xdr:row>
      <xdr:rowOff>38100</xdr:rowOff>
    </xdr:from>
    <xdr:ext cx="647700" cy="647700"/>
    <xdr:pic>
      <xdr:nvPicPr>
        <xdr:cNvPr id="610" name="photo_617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617</xdr:row>
      <xdr:rowOff>38100</xdr:rowOff>
    </xdr:from>
    <xdr:ext cx="647700" cy="647700"/>
    <xdr:pic>
      <xdr:nvPicPr>
        <xdr:cNvPr id="611" name="photo_618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618</xdr:row>
      <xdr:rowOff>38100</xdr:rowOff>
    </xdr:from>
    <xdr:ext cx="647700" cy="647700"/>
    <xdr:pic>
      <xdr:nvPicPr>
        <xdr:cNvPr id="612" name="photo_619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619</xdr:row>
      <xdr:rowOff>38100</xdr:rowOff>
    </xdr:from>
    <xdr:ext cx="647700" cy="647700"/>
    <xdr:pic>
      <xdr:nvPicPr>
        <xdr:cNvPr id="613" name="photo_620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620</xdr:row>
      <xdr:rowOff>38100</xdr:rowOff>
    </xdr:from>
    <xdr:ext cx="647700" cy="647700"/>
    <xdr:pic>
      <xdr:nvPicPr>
        <xdr:cNvPr id="614" name="photo_621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621</xdr:row>
      <xdr:rowOff>38100</xdr:rowOff>
    </xdr:from>
    <xdr:ext cx="647700" cy="647700"/>
    <xdr:pic>
      <xdr:nvPicPr>
        <xdr:cNvPr id="615" name="photo_622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622</xdr:row>
      <xdr:rowOff>38100</xdr:rowOff>
    </xdr:from>
    <xdr:ext cx="428625" cy="647700"/>
    <xdr:pic>
      <xdr:nvPicPr>
        <xdr:cNvPr id="616" name="photo_623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623</xdr:row>
      <xdr:rowOff>38100</xdr:rowOff>
    </xdr:from>
    <xdr:ext cx="428625" cy="647700"/>
    <xdr:pic>
      <xdr:nvPicPr>
        <xdr:cNvPr id="617" name="photo_624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624</xdr:row>
      <xdr:rowOff>38100</xdr:rowOff>
    </xdr:from>
    <xdr:ext cx="647700" cy="647700"/>
    <xdr:pic>
      <xdr:nvPicPr>
        <xdr:cNvPr id="618" name="photo_625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625</xdr:row>
      <xdr:rowOff>38100</xdr:rowOff>
    </xdr:from>
    <xdr:ext cx="647700" cy="647700"/>
    <xdr:pic>
      <xdr:nvPicPr>
        <xdr:cNvPr id="619" name="photo_626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626</xdr:row>
      <xdr:rowOff>38100</xdr:rowOff>
    </xdr:from>
    <xdr:ext cx="647700" cy="647700"/>
    <xdr:pic>
      <xdr:nvPicPr>
        <xdr:cNvPr id="620" name="photo_627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627</xdr:row>
      <xdr:rowOff>38100</xdr:rowOff>
    </xdr:from>
    <xdr:ext cx="647700" cy="647700"/>
    <xdr:pic>
      <xdr:nvPicPr>
        <xdr:cNvPr id="621" name="photo_628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628</xdr:row>
      <xdr:rowOff>38100</xdr:rowOff>
    </xdr:from>
    <xdr:ext cx="647700" cy="647700"/>
    <xdr:pic>
      <xdr:nvPicPr>
        <xdr:cNvPr id="622" name="photo_629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629</xdr:row>
      <xdr:rowOff>38100</xdr:rowOff>
    </xdr:from>
    <xdr:ext cx="647700" cy="647700"/>
    <xdr:pic>
      <xdr:nvPicPr>
        <xdr:cNvPr id="623" name="photo_630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630</xdr:row>
      <xdr:rowOff>38100</xdr:rowOff>
    </xdr:from>
    <xdr:ext cx="647700" cy="647700"/>
    <xdr:pic>
      <xdr:nvPicPr>
        <xdr:cNvPr id="624" name="photo_631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631</xdr:row>
      <xdr:rowOff>38100</xdr:rowOff>
    </xdr:from>
    <xdr:ext cx="647700" cy="647700"/>
    <xdr:pic>
      <xdr:nvPicPr>
        <xdr:cNvPr id="625" name="photo_632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632</xdr:row>
      <xdr:rowOff>38100</xdr:rowOff>
    </xdr:from>
    <xdr:ext cx="647700" cy="647700"/>
    <xdr:pic>
      <xdr:nvPicPr>
        <xdr:cNvPr id="626" name="photo_633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633</xdr:row>
      <xdr:rowOff>38100</xdr:rowOff>
    </xdr:from>
    <xdr:ext cx="647700" cy="647700"/>
    <xdr:pic>
      <xdr:nvPicPr>
        <xdr:cNvPr id="627" name="photo_634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634</xdr:row>
      <xdr:rowOff>114300</xdr:rowOff>
    </xdr:from>
    <xdr:ext cx="647700" cy="504825"/>
    <xdr:pic>
      <xdr:nvPicPr>
        <xdr:cNvPr id="628" name="photo_635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635</xdr:row>
      <xdr:rowOff>38100</xdr:rowOff>
    </xdr:from>
    <xdr:ext cx="647700" cy="647700"/>
    <xdr:pic>
      <xdr:nvPicPr>
        <xdr:cNvPr id="629" name="photo_636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636</xdr:row>
      <xdr:rowOff>38100</xdr:rowOff>
    </xdr:from>
    <xdr:ext cx="647700" cy="647700"/>
    <xdr:pic>
      <xdr:nvPicPr>
        <xdr:cNvPr id="630" name="photo_637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637</xdr:row>
      <xdr:rowOff>38100</xdr:rowOff>
    </xdr:from>
    <xdr:ext cx="647700" cy="647700"/>
    <xdr:pic>
      <xdr:nvPicPr>
        <xdr:cNvPr id="631" name="photo_638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638</xdr:row>
      <xdr:rowOff>38100</xdr:rowOff>
    </xdr:from>
    <xdr:ext cx="647700" cy="647700"/>
    <xdr:pic>
      <xdr:nvPicPr>
        <xdr:cNvPr id="632" name="photo_639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639</xdr:row>
      <xdr:rowOff>38100</xdr:rowOff>
    </xdr:from>
    <xdr:ext cx="647700" cy="647700"/>
    <xdr:pic>
      <xdr:nvPicPr>
        <xdr:cNvPr id="633" name="photo_640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640</xdr:row>
      <xdr:rowOff>38100</xdr:rowOff>
    </xdr:from>
    <xdr:ext cx="647700" cy="647700"/>
    <xdr:pic>
      <xdr:nvPicPr>
        <xdr:cNvPr id="634" name="photo_641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641</xdr:row>
      <xdr:rowOff>76200</xdr:rowOff>
    </xdr:from>
    <xdr:ext cx="647700" cy="581025"/>
    <xdr:pic>
      <xdr:nvPicPr>
        <xdr:cNvPr id="635" name="photo_642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642</xdr:row>
      <xdr:rowOff>76200</xdr:rowOff>
    </xdr:from>
    <xdr:ext cx="647700" cy="581025"/>
    <xdr:pic>
      <xdr:nvPicPr>
        <xdr:cNvPr id="636" name="photo_643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643</xdr:row>
      <xdr:rowOff>38100</xdr:rowOff>
    </xdr:from>
    <xdr:ext cx="647700" cy="647700"/>
    <xdr:pic>
      <xdr:nvPicPr>
        <xdr:cNvPr id="637" name="photo_644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644</xdr:row>
      <xdr:rowOff>38100</xdr:rowOff>
    </xdr:from>
    <xdr:ext cx="647700" cy="647700"/>
    <xdr:pic>
      <xdr:nvPicPr>
        <xdr:cNvPr id="638" name="photo_645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645</xdr:row>
      <xdr:rowOff>38100</xdr:rowOff>
    </xdr:from>
    <xdr:ext cx="647700" cy="647700"/>
    <xdr:pic>
      <xdr:nvPicPr>
        <xdr:cNvPr id="639" name="photo_646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646</xdr:row>
      <xdr:rowOff>38100</xdr:rowOff>
    </xdr:from>
    <xdr:ext cx="647700" cy="647700"/>
    <xdr:pic>
      <xdr:nvPicPr>
        <xdr:cNvPr id="640" name="photo_647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647</xdr:row>
      <xdr:rowOff>38100</xdr:rowOff>
    </xdr:from>
    <xdr:ext cx="647700" cy="647700"/>
    <xdr:pic>
      <xdr:nvPicPr>
        <xdr:cNvPr id="641" name="photo_648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648</xdr:row>
      <xdr:rowOff>38100</xdr:rowOff>
    </xdr:from>
    <xdr:ext cx="647700" cy="647700"/>
    <xdr:pic>
      <xdr:nvPicPr>
        <xdr:cNvPr id="642" name="photo_649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649</xdr:row>
      <xdr:rowOff>38100</xdr:rowOff>
    </xdr:from>
    <xdr:ext cx="647700" cy="647700"/>
    <xdr:pic>
      <xdr:nvPicPr>
        <xdr:cNvPr id="643" name="photo_650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651</xdr:row>
      <xdr:rowOff>38100</xdr:rowOff>
    </xdr:from>
    <xdr:ext cx="647700" cy="647700"/>
    <xdr:pic>
      <xdr:nvPicPr>
        <xdr:cNvPr id="644" name="photo_652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652</xdr:row>
      <xdr:rowOff>38100</xdr:rowOff>
    </xdr:from>
    <xdr:ext cx="647700" cy="647700"/>
    <xdr:pic>
      <xdr:nvPicPr>
        <xdr:cNvPr id="645" name="photo_653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653</xdr:row>
      <xdr:rowOff>38100</xdr:rowOff>
    </xdr:from>
    <xdr:ext cx="647700" cy="647700"/>
    <xdr:pic>
      <xdr:nvPicPr>
        <xdr:cNvPr id="646" name="photo_654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654</xdr:row>
      <xdr:rowOff>38100</xdr:rowOff>
    </xdr:from>
    <xdr:ext cx="647700" cy="647700"/>
    <xdr:pic>
      <xdr:nvPicPr>
        <xdr:cNvPr id="647" name="photo_655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655</xdr:row>
      <xdr:rowOff>38100</xdr:rowOff>
    </xdr:from>
    <xdr:ext cx="647700" cy="647700"/>
    <xdr:pic>
      <xdr:nvPicPr>
        <xdr:cNvPr id="648" name="photo_656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656</xdr:row>
      <xdr:rowOff>38100</xdr:rowOff>
    </xdr:from>
    <xdr:ext cx="647700" cy="647700"/>
    <xdr:pic>
      <xdr:nvPicPr>
        <xdr:cNvPr id="649" name="photo_657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657</xdr:row>
      <xdr:rowOff>38100</xdr:rowOff>
    </xdr:from>
    <xdr:ext cx="647700" cy="647700"/>
    <xdr:pic>
      <xdr:nvPicPr>
        <xdr:cNvPr id="650" name="photo_658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658</xdr:row>
      <xdr:rowOff>38100</xdr:rowOff>
    </xdr:from>
    <xdr:ext cx="647700" cy="647700"/>
    <xdr:pic>
      <xdr:nvPicPr>
        <xdr:cNvPr id="651" name="photo_659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659</xdr:row>
      <xdr:rowOff>38100</xdr:rowOff>
    </xdr:from>
    <xdr:ext cx="647700" cy="647700"/>
    <xdr:pic>
      <xdr:nvPicPr>
        <xdr:cNvPr id="652" name="photo_660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660</xdr:row>
      <xdr:rowOff>38100</xdr:rowOff>
    </xdr:from>
    <xdr:ext cx="647700" cy="647700"/>
    <xdr:pic>
      <xdr:nvPicPr>
        <xdr:cNvPr id="653" name="photo_661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661</xdr:row>
      <xdr:rowOff>38100</xdr:rowOff>
    </xdr:from>
    <xdr:ext cx="647700" cy="647700"/>
    <xdr:pic>
      <xdr:nvPicPr>
        <xdr:cNvPr id="654" name="photo_662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662</xdr:row>
      <xdr:rowOff>38100</xdr:rowOff>
    </xdr:from>
    <xdr:ext cx="647700" cy="647700"/>
    <xdr:pic>
      <xdr:nvPicPr>
        <xdr:cNvPr id="655" name="photo_663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663</xdr:row>
      <xdr:rowOff>38100</xdr:rowOff>
    </xdr:from>
    <xdr:ext cx="647700" cy="647700"/>
    <xdr:pic>
      <xdr:nvPicPr>
        <xdr:cNvPr id="656" name="photo_664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664</xdr:row>
      <xdr:rowOff>38100</xdr:rowOff>
    </xdr:from>
    <xdr:ext cx="647700" cy="647700"/>
    <xdr:pic>
      <xdr:nvPicPr>
        <xdr:cNvPr id="657" name="photo_665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665</xdr:row>
      <xdr:rowOff>38100</xdr:rowOff>
    </xdr:from>
    <xdr:ext cx="647700" cy="647700"/>
    <xdr:pic>
      <xdr:nvPicPr>
        <xdr:cNvPr id="658" name="photo_666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666</xdr:row>
      <xdr:rowOff>38100</xdr:rowOff>
    </xdr:from>
    <xdr:ext cx="647700" cy="647700"/>
    <xdr:pic>
      <xdr:nvPicPr>
        <xdr:cNvPr id="659" name="photo_667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667</xdr:row>
      <xdr:rowOff>38100</xdr:rowOff>
    </xdr:from>
    <xdr:ext cx="647700" cy="647700"/>
    <xdr:pic>
      <xdr:nvPicPr>
        <xdr:cNvPr id="660" name="photo_668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668</xdr:row>
      <xdr:rowOff>38100</xdr:rowOff>
    </xdr:from>
    <xdr:ext cx="647700" cy="647700"/>
    <xdr:pic>
      <xdr:nvPicPr>
        <xdr:cNvPr id="661" name="photo_669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669</xdr:row>
      <xdr:rowOff>38100</xdr:rowOff>
    </xdr:from>
    <xdr:ext cx="647700" cy="647700"/>
    <xdr:pic>
      <xdr:nvPicPr>
        <xdr:cNvPr id="662" name="photo_670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670</xdr:row>
      <xdr:rowOff>38100</xdr:rowOff>
    </xdr:from>
    <xdr:ext cx="647700" cy="647700"/>
    <xdr:pic>
      <xdr:nvPicPr>
        <xdr:cNvPr id="663" name="photo_671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671</xdr:row>
      <xdr:rowOff>104775</xdr:rowOff>
    </xdr:from>
    <xdr:ext cx="647700" cy="523875"/>
    <xdr:pic>
      <xdr:nvPicPr>
        <xdr:cNvPr id="664" name="photo_672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672</xdr:row>
      <xdr:rowOff>104775</xdr:rowOff>
    </xdr:from>
    <xdr:ext cx="647700" cy="523875"/>
    <xdr:pic>
      <xdr:nvPicPr>
        <xdr:cNvPr id="665" name="photo_673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673</xdr:row>
      <xdr:rowOff>104775</xdr:rowOff>
    </xdr:from>
    <xdr:ext cx="647700" cy="523875"/>
    <xdr:pic>
      <xdr:nvPicPr>
        <xdr:cNvPr id="666" name="photo_674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674</xdr:row>
      <xdr:rowOff>104775</xdr:rowOff>
    </xdr:from>
    <xdr:ext cx="647700" cy="523875"/>
    <xdr:pic>
      <xdr:nvPicPr>
        <xdr:cNvPr id="667" name="photo_675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675</xdr:row>
      <xdr:rowOff>104775</xdr:rowOff>
    </xdr:from>
    <xdr:ext cx="647700" cy="523875"/>
    <xdr:pic>
      <xdr:nvPicPr>
        <xdr:cNvPr id="668" name="photo_676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676</xdr:row>
      <xdr:rowOff>104775</xdr:rowOff>
    </xdr:from>
    <xdr:ext cx="647700" cy="523875"/>
    <xdr:pic>
      <xdr:nvPicPr>
        <xdr:cNvPr id="669" name="photo_677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677</xdr:row>
      <xdr:rowOff>38100</xdr:rowOff>
    </xdr:from>
    <xdr:ext cx="647700" cy="647700"/>
    <xdr:pic>
      <xdr:nvPicPr>
        <xdr:cNvPr id="670" name="photo_678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678</xdr:row>
      <xdr:rowOff>38100</xdr:rowOff>
    </xdr:from>
    <xdr:ext cx="647700" cy="647700"/>
    <xdr:pic>
      <xdr:nvPicPr>
        <xdr:cNvPr id="671" name="photo_679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679</xdr:row>
      <xdr:rowOff>38100</xdr:rowOff>
    </xdr:from>
    <xdr:ext cx="647700" cy="647700"/>
    <xdr:pic>
      <xdr:nvPicPr>
        <xdr:cNvPr id="672" name="photo_680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680</xdr:row>
      <xdr:rowOff>38100</xdr:rowOff>
    </xdr:from>
    <xdr:ext cx="647700" cy="647700"/>
    <xdr:pic>
      <xdr:nvPicPr>
        <xdr:cNvPr id="673" name="photo_681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681</xdr:row>
      <xdr:rowOff>38100</xdr:rowOff>
    </xdr:from>
    <xdr:ext cx="647700" cy="647700"/>
    <xdr:pic>
      <xdr:nvPicPr>
        <xdr:cNvPr id="674" name="photo_682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682</xdr:row>
      <xdr:rowOff>38100</xdr:rowOff>
    </xdr:from>
    <xdr:ext cx="647700" cy="647700"/>
    <xdr:pic>
      <xdr:nvPicPr>
        <xdr:cNvPr id="675" name="photo_683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683</xdr:row>
      <xdr:rowOff>38100</xdr:rowOff>
    </xdr:from>
    <xdr:ext cx="647700" cy="647700"/>
    <xdr:pic>
      <xdr:nvPicPr>
        <xdr:cNvPr id="676" name="photo_684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684</xdr:row>
      <xdr:rowOff>38100</xdr:rowOff>
    </xdr:from>
    <xdr:ext cx="647700" cy="647700"/>
    <xdr:pic>
      <xdr:nvPicPr>
        <xdr:cNvPr id="677" name="photo_685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685</xdr:row>
      <xdr:rowOff>38100</xdr:rowOff>
    </xdr:from>
    <xdr:ext cx="647700" cy="647700"/>
    <xdr:pic>
      <xdr:nvPicPr>
        <xdr:cNvPr id="678" name="photo_686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686</xdr:row>
      <xdr:rowOff>38100</xdr:rowOff>
    </xdr:from>
    <xdr:ext cx="647700" cy="647700"/>
    <xdr:pic>
      <xdr:nvPicPr>
        <xdr:cNvPr id="679" name="photo_687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687</xdr:row>
      <xdr:rowOff>38100</xdr:rowOff>
    </xdr:from>
    <xdr:ext cx="647700" cy="647700"/>
    <xdr:pic>
      <xdr:nvPicPr>
        <xdr:cNvPr id="680" name="photo_688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688</xdr:row>
      <xdr:rowOff>38100</xdr:rowOff>
    </xdr:from>
    <xdr:ext cx="647700" cy="647700"/>
    <xdr:pic>
      <xdr:nvPicPr>
        <xdr:cNvPr id="681" name="photo_689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689</xdr:row>
      <xdr:rowOff>38100</xdr:rowOff>
    </xdr:from>
    <xdr:ext cx="647700" cy="647700"/>
    <xdr:pic>
      <xdr:nvPicPr>
        <xdr:cNvPr id="682" name="photo_690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690</xdr:row>
      <xdr:rowOff>38100</xdr:rowOff>
    </xdr:from>
    <xdr:ext cx="647700" cy="647700"/>
    <xdr:pic>
      <xdr:nvPicPr>
        <xdr:cNvPr id="683" name="photo_691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691</xdr:row>
      <xdr:rowOff>38100</xdr:rowOff>
    </xdr:from>
    <xdr:ext cx="647700" cy="647700"/>
    <xdr:pic>
      <xdr:nvPicPr>
        <xdr:cNvPr id="684" name="photo_692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692</xdr:row>
      <xdr:rowOff>38100</xdr:rowOff>
    </xdr:from>
    <xdr:ext cx="647700" cy="647700"/>
    <xdr:pic>
      <xdr:nvPicPr>
        <xdr:cNvPr id="685" name="photo_693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693</xdr:row>
      <xdr:rowOff>38100</xdr:rowOff>
    </xdr:from>
    <xdr:ext cx="647700" cy="647700"/>
    <xdr:pic>
      <xdr:nvPicPr>
        <xdr:cNvPr id="686" name="photo_694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694</xdr:row>
      <xdr:rowOff>38100</xdr:rowOff>
    </xdr:from>
    <xdr:ext cx="647700" cy="647700"/>
    <xdr:pic>
      <xdr:nvPicPr>
        <xdr:cNvPr id="687" name="photo_695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695</xdr:row>
      <xdr:rowOff>38100</xdr:rowOff>
    </xdr:from>
    <xdr:ext cx="647700" cy="647700"/>
    <xdr:pic>
      <xdr:nvPicPr>
        <xdr:cNvPr id="688" name="photo_696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696</xdr:row>
      <xdr:rowOff>38100</xdr:rowOff>
    </xdr:from>
    <xdr:ext cx="647700" cy="647700"/>
    <xdr:pic>
      <xdr:nvPicPr>
        <xdr:cNvPr id="689" name="photo_697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697</xdr:row>
      <xdr:rowOff>38100</xdr:rowOff>
    </xdr:from>
    <xdr:ext cx="647700" cy="647700"/>
    <xdr:pic>
      <xdr:nvPicPr>
        <xdr:cNvPr id="690" name="photo_698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698</xdr:row>
      <xdr:rowOff>38100</xdr:rowOff>
    </xdr:from>
    <xdr:ext cx="647700" cy="647700"/>
    <xdr:pic>
      <xdr:nvPicPr>
        <xdr:cNvPr id="691" name="photo_699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699</xdr:row>
      <xdr:rowOff>38100</xdr:rowOff>
    </xdr:from>
    <xdr:ext cx="647700" cy="647700"/>
    <xdr:pic>
      <xdr:nvPicPr>
        <xdr:cNvPr id="692" name="photo_700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700</xdr:row>
      <xdr:rowOff>38100</xdr:rowOff>
    </xdr:from>
    <xdr:ext cx="647700" cy="647700"/>
    <xdr:pic>
      <xdr:nvPicPr>
        <xdr:cNvPr id="693" name="photo_701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701</xdr:row>
      <xdr:rowOff>38100</xdr:rowOff>
    </xdr:from>
    <xdr:ext cx="647700" cy="647700"/>
    <xdr:pic>
      <xdr:nvPicPr>
        <xdr:cNvPr id="694" name="photo_702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702</xdr:row>
      <xdr:rowOff>38100</xdr:rowOff>
    </xdr:from>
    <xdr:ext cx="647700" cy="647700"/>
    <xdr:pic>
      <xdr:nvPicPr>
        <xdr:cNvPr id="695" name="photo_703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703</xdr:row>
      <xdr:rowOff>38100</xdr:rowOff>
    </xdr:from>
    <xdr:ext cx="647700" cy="647700"/>
    <xdr:pic>
      <xdr:nvPicPr>
        <xdr:cNvPr id="696" name="photo_704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704</xdr:row>
      <xdr:rowOff>38100</xdr:rowOff>
    </xdr:from>
    <xdr:ext cx="647700" cy="647700"/>
    <xdr:pic>
      <xdr:nvPicPr>
        <xdr:cNvPr id="697" name="photo_705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705</xdr:row>
      <xdr:rowOff>38100</xdr:rowOff>
    </xdr:from>
    <xdr:ext cx="647700" cy="647700"/>
    <xdr:pic>
      <xdr:nvPicPr>
        <xdr:cNvPr id="698" name="photo_706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706</xdr:row>
      <xdr:rowOff>38100</xdr:rowOff>
    </xdr:from>
    <xdr:ext cx="647700" cy="647700"/>
    <xdr:pic>
      <xdr:nvPicPr>
        <xdr:cNvPr id="699" name="photo_707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707</xdr:row>
      <xdr:rowOff>38100</xdr:rowOff>
    </xdr:from>
    <xdr:ext cx="647700" cy="647700"/>
    <xdr:pic>
      <xdr:nvPicPr>
        <xdr:cNvPr id="700" name="photo_708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708</xdr:row>
      <xdr:rowOff>38100</xdr:rowOff>
    </xdr:from>
    <xdr:ext cx="647700" cy="647700"/>
    <xdr:pic>
      <xdr:nvPicPr>
        <xdr:cNvPr id="701" name="photo_709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709</xdr:row>
      <xdr:rowOff>38100</xdr:rowOff>
    </xdr:from>
    <xdr:ext cx="647700" cy="647700"/>
    <xdr:pic>
      <xdr:nvPicPr>
        <xdr:cNvPr id="702" name="photo_710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710</xdr:row>
      <xdr:rowOff>38100</xdr:rowOff>
    </xdr:from>
    <xdr:ext cx="647700" cy="647700"/>
    <xdr:pic>
      <xdr:nvPicPr>
        <xdr:cNvPr id="703" name="photo_711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711</xdr:row>
      <xdr:rowOff>38100</xdr:rowOff>
    </xdr:from>
    <xdr:ext cx="647700" cy="647700"/>
    <xdr:pic>
      <xdr:nvPicPr>
        <xdr:cNvPr id="704" name="photo_712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712</xdr:row>
      <xdr:rowOff>38100</xdr:rowOff>
    </xdr:from>
    <xdr:ext cx="647700" cy="647700"/>
    <xdr:pic>
      <xdr:nvPicPr>
        <xdr:cNvPr id="705" name="photo_713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713</xdr:row>
      <xdr:rowOff>38100</xdr:rowOff>
    </xdr:from>
    <xdr:ext cx="647700" cy="647700"/>
    <xdr:pic>
      <xdr:nvPicPr>
        <xdr:cNvPr id="706" name="photo_714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714</xdr:row>
      <xdr:rowOff>38100</xdr:rowOff>
    </xdr:from>
    <xdr:ext cx="647700" cy="647700"/>
    <xdr:pic>
      <xdr:nvPicPr>
        <xdr:cNvPr id="707" name="photo_715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715</xdr:row>
      <xdr:rowOff>38100</xdr:rowOff>
    </xdr:from>
    <xdr:ext cx="647700" cy="647700"/>
    <xdr:pic>
      <xdr:nvPicPr>
        <xdr:cNvPr id="708" name="photo_716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716</xdr:row>
      <xdr:rowOff>38100</xdr:rowOff>
    </xdr:from>
    <xdr:ext cx="647700" cy="647700"/>
    <xdr:pic>
      <xdr:nvPicPr>
        <xdr:cNvPr id="709" name="photo_717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717</xdr:row>
      <xdr:rowOff>38100</xdr:rowOff>
    </xdr:from>
    <xdr:ext cx="647700" cy="647700"/>
    <xdr:pic>
      <xdr:nvPicPr>
        <xdr:cNvPr id="710" name="photo_718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718</xdr:row>
      <xdr:rowOff>38100</xdr:rowOff>
    </xdr:from>
    <xdr:ext cx="647700" cy="647700"/>
    <xdr:pic>
      <xdr:nvPicPr>
        <xdr:cNvPr id="711" name="photo_719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719</xdr:row>
      <xdr:rowOff>38100</xdr:rowOff>
    </xdr:from>
    <xdr:ext cx="647700" cy="647700"/>
    <xdr:pic>
      <xdr:nvPicPr>
        <xdr:cNvPr id="712" name="photo_720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720</xdr:row>
      <xdr:rowOff>38100</xdr:rowOff>
    </xdr:from>
    <xdr:ext cx="647700" cy="647700"/>
    <xdr:pic>
      <xdr:nvPicPr>
        <xdr:cNvPr id="713" name="photo_721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721</xdr:row>
      <xdr:rowOff>38100</xdr:rowOff>
    </xdr:from>
    <xdr:ext cx="647700" cy="647700"/>
    <xdr:pic>
      <xdr:nvPicPr>
        <xdr:cNvPr id="714" name="photo_722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722</xdr:row>
      <xdr:rowOff>38100</xdr:rowOff>
    </xdr:from>
    <xdr:ext cx="647700" cy="647700"/>
    <xdr:pic>
      <xdr:nvPicPr>
        <xdr:cNvPr id="715" name="photo_723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723</xdr:row>
      <xdr:rowOff>38100</xdr:rowOff>
    </xdr:from>
    <xdr:ext cx="647700" cy="647700"/>
    <xdr:pic>
      <xdr:nvPicPr>
        <xdr:cNvPr id="716" name="photo_724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724</xdr:row>
      <xdr:rowOff>38100</xdr:rowOff>
    </xdr:from>
    <xdr:ext cx="647700" cy="647700"/>
    <xdr:pic>
      <xdr:nvPicPr>
        <xdr:cNvPr id="717" name="photo_725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725</xdr:row>
      <xdr:rowOff>38100</xdr:rowOff>
    </xdr:from>
    <xdr:ext cx="647700" cy="647700"/>
    <xdr:pic>
      <xdr:nvPicPr>
        <xdr:cNvPr id="718" name="photo_726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726</xdr:row>
      <xdr:rowOff>38100</xdr:rowOff>
    </xdr:from>
    <xdr:ext cx="647700" cy="647700"/>
    <xdr:pic>
      <xdr:nvPicPr>
        <xdr:cNvPr id="719" name="photo_727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727</xdr:row>
      <xdr:rowOff>38100</xdr:rowOff>
    </xdr:from>
    <xdr:ext cx="647700" cy="647700"/>
    <xdr:pic>
      <xdr:nvPicPr>
        <xdr:cNvPr id="720" name="photo_728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728</xdr:row>
      <xdr:rowOff>38100</xdr:rowOff>
    </xdr:from>
    <xdr:ext cx="647700" cy="647700"/>
    <xdr:pic>
      <xdr:nvPicPr>
        <xdr:cNvPr id="721" name="photo_729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729</xdr:row>
      <xdr:rowOff>38100</xdr:rowOff>
    </xdr:from>
    <xdr:ext cx="647700" cy="647700"/>
    <xdr:pic>
      <xdr:nvPicPr>
        <xdr:cNvPr id="722" name="photo_730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730</xdr:row>
      <xdr:rowOff>38100</xdr:rowOff>
    </xdr:from>
    <xdr:ext cx="647700" cy="647700"/>
    <xdr:pic>
      <xdr:nvPicPr>
        <xdr:cNvPr id="723" name="photo_731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731</xdr:row>
      <xdr:rowOff>38100</xdr:rowOff>
    </xdr:from>
    <xdr:ext cx="647700" cy="647700"/>
    <xdr:pic>
      <xdr:nvPicPr>
        <xdr:cNvPr id="724" name="photo_732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732</xdr:row>
      <xdr:rowOff>38100</xdr:rowOff>
    </xdr:from>
    <xdr:ext cx="647700" cy="647700"/>
    <xdr:pic>
      <xdr:nvPicPr>
        <xdr:cNvPr id="725" name="photo_733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733</xdr:row>
      <xdr:rowOff>38100</xdr:rowOff>
    </xdr:from>
    <xdr:ext cx="647700" cy="647700"/>
    <xdr:pic>
      <xdr:nvPicPr>
        <xdr:cNvPr id="726" name="photo_734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734</xdr:row>
      <xdr:rowOff>38100</xdr:rowOff>
    </xdr:from>
    <xdr:ext cx="647700" cy="647700"/>
    <xdr:pic>
      <xdr:nvPicPr>
        <xdr:cNvPr id="727" name="photo_735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735</xdr:row>
      <xdr:rowOff>38100</xdr:rowOff>
    </xdr:from>
    <xdr:ext cx="647700" cy="647700"/>
    <xdr:pic>
      <xdr:nvPicPr>
        <xdr:cNvPr id="728" name="photo_736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736</xdr:row>
      <xdr:rowOff>38100</xdr:rowOff>
    </xdr:from>
    <xdr:ext cx="647700" cy="647700"/>
    <xdr:pic>
      <xdr:nvPicPr>
        <xdr:cNvPr id="729" name="photo_737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737</xdr:row>
      <xdr:rowOff>38100</xdr:rowOff>
    </xdr:from>
    <xdr:ext cx="647700" cy="647700"/>
    <xdr:pic>
      <xdr:nvPicPr>
        <xdr:cNvPr id="730" name="photo_738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738</xdr:row>
      <xdr:rowOff>38100</xdr:rowOff>
    </xdr:from>
    <xdr:ext cx="647700" cy="647700"/>
    <xdr:pic>
      <xdr:nvPicPr>
        <xdr:cNvPr id="731" name="photo_739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739</xdr:row>
      <xdr:rowOff>38100</xdr:rowOff>
    </xdr:from>
    <xdr:ext cx="647700" cy="647700"/>
    <xdr:pic>
      <xdr:nvPicPr>
        <xdr:cNvPr id="732" name="photo_740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740</xdr:row>
      <xdr:rowOff>38100</xdr:rowOff>
    </xdr:from>
    <xdr:ext cx="647700" cy="647700"/>
    <xdr:pic>
      <xdr:nvPicPr>
        <xdr:cNvPr id="733" name="photo_741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741</xdr:row>
      <xdr:rowOff>38100</xdr:rowOff>
    </xdr:from>
    <xdr:ext cx="647700" cy="647700"/>
    <xdr:pic>
      <xdr:nvPicPr>
        <xdr:cNvPr id="734" name="photo_742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742</xdr:row>
      <xdr:rowOff>38100</xdr:rowOff>
    </xdr:from>
    <xdr:ext cx="647700" cy="647700"/>
    <xdr:pic>
      <xdr:nvPicPr>
        <xdr:cNvPr id="735" name="photo_743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743</xdr:row>
      <xdr:rowOff>38100</xdr:rowOff>
    </xdr:from>
    <xdr:ext cx="647700" cy="647700"/>
    <xdr:pic>
      <xdr:nvPicPr>
        <xdr:cNvPr id="736" name="photo_744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744</xdr:row>
      <xdr:rowOff>38100</xdr:rowOff>
    </xdr:from>
    <xdr:ext cx="647700" cy="647700"/>
    <xdr:pic>
      <xdr:nvPicPr>
        <xdr:cNvPr id="737" name="photo_745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745</xdr:row>
      <xdr:rowOff>38100</xdr:rowOff>
    </xdr:from>
    <xdr:ext cx="647700" cy="647700"/>
    <xdr:pic>
      <xdr:nvPicPr>
        <xdr:cNvPr id="738" name="photo_746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747</xdr:row>
      <xdr:rowOff>38100</xdr:rowOff>
    </xdr:from>
    <xdr:ext cx="647700" cy="647700"/>
    <xdr:pic>
      <xdr:nvPicPr>
        <xdr:cNvPr id="739" name="photo_748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748</xdr:row>
      <xdr:rowOff>38100</xdr:rowOff>
    </xdr:from>
    <xdr:ext cx="647700" cy="647700"/>
    <xdr:pic>
      <xdr:nvPicPr>
        <xdr:cNvPr id="740" name="photo_749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749</xdr:row>
      <xdr:rowOff>38100</xdr:rowOff>
    </xdr:from>
    <xdr:ext cx="647700" cy="647700"/>
    <xdr:pic>
      <xdr:nvPicPr>
        <xdr:cNvPr id="741" name="photo_750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750</xdr:row>
      <xdr:rowOff>38100</xdr:rowOff>
    </xdr:from>
    <xdr:ext cx="647700" cy="647700"/>
    <xdr:pic>
      <xdr:nvPicPr>
        <xdr:cNvPr id="742" name="photo_751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751</xdr:row>
      <xdr:rowOff>38100</xdr:rowOff>
    </xdr:from>
    <xdr:ext cx="647700" cy="647700"/>
    <xdr:pic>
      <xdr:nvPicPr>
        <xdr:cNvPr id="743" name="photo_752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752</xdr:row>
      <xdr:rowOff>38100</xdr:rowOff>
    </xdr:from>
    <xdr:ext cx="647700" cy="647700"/>
    <xdr:pic>
      <xdr:nvPicPr>
        <xdr:cNvPr id="744" name="photo_753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753</xdr:row>
      <xdr:rowOff>38100</xdr:rowOff>
    </xdr:from>
    <xdr:ext cx="647700" cy="647700"/>
    <xdr:pic>
      <xdr:nvPicPr>
        <xdr:cNvPr id="745" name="photo_754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754</xdr:row>
      <xdr:rowOff>38100</xdr:rowOff>
    </xdr:from>
    <xdr:ext cx="647700" cy="647700"/>
    <xdr:pic>
      <xdr:nvPicPr>
        <xdr:cNvPr id="746" name="photo_755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755</xdr:row>
      <xdr:rowOff>38100</xdr:rowOff>
    </xdr:from>
    <xdr:ext cx="647700" cy="647700"/>
    <xdr:pic>
      <xdr:nvPicPr>
        <xdr:cNvPr id="747" name="photo_756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756</xdr:row>
      <xdr:rowOff>38100</xdr:rowOff>
    </xdr:from>
    <xdr:ext cx="647700" cy="647700"/>
    <xdr:pic>
      <xdr:nvPicPr>
        <xdr:cNvPr id="748" name="photo_757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757</xdr:row>
      <xdr:rowOff>38100</xdr:rowOff>
    </xdr:from>
    <xdr:ext cx="647700" cy="647700"/>
    <xdr:pic>
      <xdr:nvPicPr>
        <xdr:cNvPr id="749" name="photo_758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758</xdr:row>
      <xdr:rowOff>38100</xdr:rowOff>
    </xdr:from>
    <xdr:ext cx="647700" cy="647700"/>
    <xdr:pic>
      <xdr:nvPicPr>
        <xdr:cNvPr id="750" name="photo_759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759</xdr:row>
      <xdr:rowOff>38100</xdr:rowOff>
    </xdr:from>
    <xdr:ext cx="647700" cy="647700"/>
    <xdr:pic>
      <xdr:nvPicPr>
        <xdr:cNvPr id="751" name="photo_760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760</xdr:row>
      <xdr:rowOff>38100</xdr:rowOff>
    </xdr:from>
    <xdr:ext cx="647700" cy="647700"/>
    <xdr:pic>
      <xdr:nvPicPr>
        <xdr:cNvPr id="752" name="photo_761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761</xdr:row>
      <xdr:rowOff>38100</xdr:rowOff>
    </xdr:from>
    <xdr:ext cx="647700" cy="647700"/>
    <xdr:pic>
      <xdr:nvPicPr>
        <xdr:cNvPr id="753" name="photo_762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762</xdr:row>
      <xdr:rowOff>38100</xdr:rowOff>
    </xdr:from>
    <xdr:ext cx="647700" cy="647700"/>
    <xdr:pic>
      <xdr:nvPicPr>
        <xdr:cNvPr id="754" name="photo_763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763</xdr:row>
      <xdr:rowOff>38100</xdr:rowOff>
    </xdr:from>
    <xdr:ext cx="647700" cy="647700"/>
    <xdr:pic>
      <xdr:nvPicPr>
        <xdr:cNvPr id="755" name="photo_764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764</xdr:row>
      <xdr:rowOff>38100</xdr:rowOff>
    </xdr:from>
    <xdr:ext cx="647700" cy="647700"/>
    <xdr:pic>
      <xdr:nvPicPr>
        <xdr:cNvPr id="756" name="photo_765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765</xdr:row>
      <xdr:rowOff>38100</xdr:rowOff>
    </xdr:from>
    <xdr:ext cx="647700" cy="647700"/>
    <xdr:pic>
      <xdr:nvPicPr>
        <xdr:cNvPr id="757" name="photo_766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766</xdr:row>
      <xdr:rowOff>38100</xdr:rowOff>
    </xdr:from>
    <xdr:ext cx="647700" cy="647700"/>
    <xdr:pic>
      <xdr:nvPicPr>
        <xdr:cNvPr id="758" name="photo_767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767</xdr:row>
      <xdr:rowOff>38100</xdr:rowOff>
    </xdr:from>
    <xdr:ext cx="647700" cy="647700"/>
    <xdr:pic>
      <xdr:nvPicPr>
        <xdr:cNvPr id="759" name="photo_768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768</xdr:row>
      <xdr:rowOff>38100</xdr:rowOff>
    </xdr:from>
    <xdr:ext cx="647700" cy="647700"/>
    <xdr:pic>
      <xdr:nvPicPr>
        <xdr:cNvPr id="760" name="photo_769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769</xdr:row>
      <xdr:rowOff>38100</xdr:rowOff>
    </xdr:from>
    <xdr:ext cx="647700" cy="647700"/>
    <xdr:pic>
      <xdr:nvPicPr>
        <xdr:cNvPr id="761" name="photo_770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770</xdr:row>
      <xdr:rowOff>38100</xdr:rowOff>
    </xdr:from>
    <xdr:ext cx="647700" cy="647700"/>
    <xdr:pic>
      <xdr:nvPicPr>
        <xdr:cNvPr id="762" name="photo_771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771</xdr:row>
      <xdr:rowOff>38100</xdr:rowOff>
    </xdr:from>
    <xdr:ext cx="647700" cy="647700"/>
    <xdr:pic>
      <xdr:nvPicPr>
        <xdr:cNvPr id="763" name="photo_772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772</xdr:row>
      <xdr:rowOff>38100</xdr:rowOff>
    </xdr:from>
    <xdr:ext cx="647700" cy="647700"/>
    <xdr:pic>
      <xdr:nvPicPr>
        <xdr:cNvPr id="764" name="photo_773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773</xdr:row>
      <xdr:rowOff>38100</xdr:rowOff>
    </xdr:from>
    <xdr:ext cx="647700" cy="647700"/>
    <xdr:pic>
      <xdr:nvPicPr>
        <xdr:cNvPr id="765" name="photo_774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774</xdr:row>
      <xdr:rowOff>38100</xdr:rowOff>
    </xdr:from>
    <xdr:ext cx="647700" cy="647700"/>
    <xdr:pic>
      <xdr:nvPicPr>
        <xdr:cNvPr id="766" name="photo_775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775</xdr:row>
      <xdr:rowOff>38100</xdr:rowOff>
    </xdr:from>
    <xdr:ext cx="647700" cy="647700"/>
    <xdr:pic>
      <xdr:nvPicPr>
        <xdr:cNvPr id="767" name="photo_776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776</xdr:row>
      <xdr:rowOff>38100</xdr:rowOff>
    </xdr:from>
    <xdr:ext cx="647700" cy="647700"/>
    <xdr:pic>
      <xdr:nvPicPr>
        <xdr:cNvPr id="768" name="photo_777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777</xdr:row>
      <xdr:rowOff>114300</xdr:rowOff>
    </xdr:from>
    <xdr:ext cx="647700" cy="495300"/>
    <xdr:pic>
      <xdr:nvPicPr>
        <xdr:cNvPr id="769" name="photo_778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778</xdr:row>
      <xdr:rowOff>38100</xdr:rowOff>
    </xdr:from>
    <xdr:ext cx="647700" cy="647700"/>
    <xdr:pic>
      <xdr:nvPicPr>
        <xdr:cNvPr id="770" name="photo_779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779</xdr:row>
      <xdr:rowOff>38100</xdr:rowOff>
    </xdr:from>
    <xdr:ext cx="647700" cy="647700"/>
    <xdr:pic>
      <xdr:nvPicPr>
        <xdr:cNvPr id="771" name="photo_780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780</xdr:row>
      <xdr:rowOff>38100</xdr:rowOff>
    </xdr:from>
    <xdr:ext cx="647700" cy="647700"/>
    <xdr:pic>
      <xdr:nvPicPr>
        <xdr:cNvPr id="772" name="photo_781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test.lavrpack.ru/catalog/?product=16192b64-ab7f-11ed-ba70-00e01a6800eb%23c00313dc-d19b-11ef-ab3c-22344d083d2c" TargetMode="External"/><Relationship Id="rId_hyperlink_2" Type="http://schemas.openxmlformats.org/officeDocument/2006/relationships/hyperlink" Target="https://www.test.lavrpack.ru/catalog/?product=16192b64-ab7f-11ed-ba70-00e01a6800eb%232c48be53-ab7f-11ed-ba70-00e01a6800eb" TargetMode="External"/><Relationship Id="rId_hyperlink_3" Type="http://schemas.openxmlformats.org/officeDocument/2006/relationships/hyperlink" Target="https://www.test.lavrpack.ru/catalog/?product=16192b64-ab7f-11ed-ba70-00e01a6800eb%234bc7e331-d19b-11ef-ab3c-22344d083d2c" TargetMode="External"/><Relationship Id="rId_hyperlink_4" Type="http://schemas.openxmlformats.org/officeDocument/2006/relationships/hyperlink" Target="https://www.test.lavrpack.ru/catalog/?product=16192b64-ab7f-11ed-ba70-00e01a6800eb%233fc8e1ea-ab80-11ed-ba70-00e01a6800eb" TargetMode="External"/><Relationship Id="rId_hyperlink_5" Type="http://schemas.openxmlformats.org/officeDocument/2006/relationships/hyperlink" Target="https://www.test.lavrpack.ru/catalog/?product=16192b64-ab7f-11ed-ba70-00e01a6800eb%236499a2b3-d19b-11ef-ab3c-22344d083d2c" TargetMode="External"/><Relationship Id="rId_hyperlink_6" Type="http://schemas.openxmlformats.org/officeDocument/2006/relationships/hyperlink" Target="https://www.test.lavrpack.ru/catalog/?product=63711ba7-ac4a-11ed-ba70-00e01a6800eb%23e0e697bd-ce48-11ef-ab3c-22344d083d2c" TargetMode="External"/><Relationship Id="rId_hyperlink_7" Type="http://schemas.openxmlformats.org/officeDocument/2006/relationships/hyperlink" Target="https://www.test.lavrpack.ru/catalog/?product=63711ba7-ac4a-11ed-ba70-00e01a6800eb%23bc9a1881-47e5-11ee-a90e-00e01a6800eb" TargetMode="External"/><Relationship Id="rId_hyperlink_8" Type="http://schemas.openxmlformats.org/officeDocument/2006/relationships/hyperlink" Target="https://www.test.lavrpack.ru/catalog/?product=63711ba7-ac4a-11ed-ba70-00e01a6800eb%23e8908280-47e5-11ee-a90e-00e01a6800eb" TargetMode="External"/><Relationship Id="rId_hyperlink_9" Type="http://schemas.openxmlformats.org/officeDocument/2006/relationships/hyperlink" Target="https://www.test.lavrpack.ru/catalog/?product=63711ba7-ac4a-11ed-ba70-00e01a6800eb%23cc7ee48d-ac4a-11ed-ba70-00e01a6800eb" TargetMode="External"/><Relationship Id="rId_hyperlink_10" Type="http://schemas.openxmlformats.org/officeDocument/2006/relationships/hyperlink" Target="https://www.test.lavrpack.ru/catalog/?product=63711ba7-ac4a-11ed-ba70-00e01a6800eb%2322cc1357-ac4c-11ed-ba70-00e01a6800eb" TargetMode="External"/><Relationship Id="rId_hyperlink_11" Type="http://schemas.openxmlformats.org/officeDocument/2006/relationships/hyperlink" Target="https://www.test.lavrpack.ru/catalog/?product=63711ba7-ac4a-11ed-ba70-00e01a6800eb%23d4e3a2bc-47e5-11ee-a90e-00e01a6800eb" TargetMode="External"/><Relationship Id="rId_hyperlink_12" Type="http://schemas.openxmlformats.org/officeDocument/2006/relationships/hyperlink" Target="https://www.test.lavrpack.ru/catalog/?product=63711ba7-ac4a-11ed-ba70-00e01a6800eb%232bef060b-2209-11ee-84d8-00e01a6800eb" TargetMode="External"/><Relationship Id="rId_hyperlink_13" Type="http://schemas.openxmlformats.org/officeDocument/2006/relationships/hyperlink" Target="https://www.test.lavrpack.ru/catalog/?product=63711ba7-ac4a-11ed-ba70-00e01a6800eb%239904fb90-ac4a-11ed-ba70-00e01a6800eb" TargetMode="External"/><Relationship Id="rId_hyperlink_14" Type="http://schemas.openxmlformats.org/officeDocument/2006/relationships/hyperlink" Target="https://www.test.lavrpack.ru/catalog/?product=63711ba7-ac4a-11ed-ba70-00e01a6800eb%23ee96c40a-ce48-11ef-ab3c-22344d083d2c" TargetMode="External"/><Relationship Id="rId_hyperlink_15" Type="http://schemas.openxmlformats.org/officeDocument/2006/relationships/hyperlink" Target="https://www.test.lavrpack.ru/catalog/?product=63711ba7-ac4a-11ed-ba70-00e01a6800eb%233734ffd0-ac4c-11ed-ba70-00e01a6800eb" TargetMode="External"/><Relationship Id="rId_hyperlink_16" Type="http://schemas.openxmlformats.org/officeDocument/2006/relationships/hyperlink" Target="https://www.test.lavrpack.ru/catalog/?product=63711ba7-ac4a-11ed-ba70-00e01a6800eb%23f4e80104-ac4a-11ed-ba70-00e01a6800eb" TargetMode="External"/><Relationship Id="rId_hyperlink_17" Type="http://schemas.openxmlformats.org/officeDocument/2006/relationships/hyperlink" Target="https://www.test.lavrpack.ru/catalog/?product=63711ba7-ac4a-11ed-ba70-00e01a6800eb%2355dfa129-ac4c-11ed-ba70-00e01a6800eb" TargetMode="External"/><Relationship Id="rId_hyperlink_18" Type="http://schemas.openxmlformats.org/officeDocument/2006/relationships/hyperlink" Target="https://www.test.lavrpack.ru/catalog/?product=63711ba7-ac4a-11ed-ba70-00e01a6800eb%23af3b3b2b-ac56-11ed-ba70-00e01a6800eb" TargetMode="External"/><Relationship Id="rId_hyperlink_19" Type="http://schemas.openxmlformats.org/officeDocument/2006/relationships/hyperlink" Target="https://www.test.lavrpack.ru/catalog/?product=63711ba7-ac4a-11ed-ba70-00e01a6800eb%23e0c60fe1-7ef5-11ee-a8ad-00e01a6800eb" TargetMode="External"/><Relationship Id="rId_hyperlink_20" Type="http://schemas.openxmlformats.org/officeDocument/2006/relationships/hyperlink" Target="https://www.test.lavrpack.ru/catalog/?product=63711ba7-ac4a-11ed-ba70-00e01a6800eb%23fb9de611-47e5-11ee-a90e-00e01a6800eb" TargetMode="External"/><Relationship Id="rId_hyperlink_21" Type="http://schemas.openxmlformats.org/officeDocument/2006/relationships/hyperlink" Target="https://www.test.lavrpack.ru/catalog/?product=63711ba7-ac4a-11ed-ba70-00e01a6800eb%23f69b2b18-ce48-11ef-ab3c-22344d083d2c" TargetMode="External"/><Relationship Id="rId_hyperlink_22" Type="http://schemas.openxmlformats.org/officeDocument/2006/relationships/hyperlink" Target="https://www.test.lavrpack.ru/catalog/?product=63711ba7-ac4a-11ed-ba70-00e01a6800eb%23d1dc0a5f-ce48-11ef-ab3c-22344d083d2c" TargetMode="External"/><Relationship Id="rId_hyperlink_23" Type="http://schemas.openxmlformats.org/officeDocument/2006/relationships/hyperlink" Target="https://www.test.lavrpack.ru/catalog/?product=63711ba7-ac4a-11ed-ba70-00e01a6800eb%23da7cc3f9-ce48-11ef-ab3c-22344d083d2c" TargetMode="External"/><Relationship Id="rId_hyperlink_24" Type="http://schemas.openxmlformats.org/officeDocument/2006/relationships/hyperlink" Target="https://www.test.lavrpack.ru/catalog/?product=63711ba7-ac4a-11ed-ba70-00e01a6800eb%237647e6a3-ac4a-11ed-ba70-00e01a6800eb" TargetMode="External"/><Relationship Id="rId_hyperlink_25" Type="http://schemas.openxmlformats.org/officeDocument/2006/relationships/hyperlink" Target="https://www.test.lavrpack.ru/catalog/?product=63711ba7-ac4a-11ed-ba70-00e01a6800eb%23ab23cbfb-ac54-11ed-ba70-00e01a6800eb" TargetMode="External"/><Relationship Id="rId_hyperlink_26" Type="http://schemas.openxmlformats.org/officeDocument/2006/relationships/hyperlink" Target="https://www.test.lavrpack.ru/catalog/?product=63711ba7-ac4a-11ed-ba70-00e01a6800eb%236fbba5c6-ac56-11ed-ba70-00e01a6800eb" TargetMode="External"/><Relationship Id="rId_hyperlink_27" Type="http://schemas.openxmlformats.org/officeDocument/2006/relationships/hyperlink" Target="https://www.test.lavrpack.ru/catalog/?product=63711ba7-ac4a-11ed-ba70-00e01a6800eb%2387a67120-ac4a-11ed-ba70-00e01a6800eb" TargetMode="External"/><Relationship Id="rId_hyperlink_28" Type="http://schemas.openxmlformats.org/officeDocument/2006/relationships/hyperlink" Target="https://www.test.lavrpack.ru/catalog/?product=63711ba7-ac4a-11ed-ba70-00e01a6800eb%23a2e93bb3-ac56-11ed-ba70-00e01a6800eb" TargetMode="External"/><Relationship Id="rId_hyperlink_29" Type="http://schemas.openxmlformats.org/officeDocument/2006/relationships/hyperlink" Target="https://www.test.lavrpack.ru/catalog/?product=63711ba7-ac4a-11ed-ba70-00e01a6800eb%2302c248aa-ce49-11ef-ab3c-22344d083d2c" TargetMode="External"/><Relationship Id="rId_hyperlink_30" Type="http://schemas.openxmlformats.org/officeDocument/2006/relationships/hyperlink" Target="https://www.test.lavrpack.ru/catalog/?product=63711ba7-ac4a-11ed-ba70-00e01a6800eb%23a3de010c-fd0b-11f0-ab4d-22344d083d2c" TargetMode="External"/><Relationship Id="rId_hyperlink_31" Type="http://schemas.openxmlformats.org/officeDocument/2006/relationships/hyperlink" Target="https://www.test.lavrpack.ru/catalog/?product=a7593b5f-bb95-11ef-ab3b-22344d083d2c%23cc7234d6-bb95-11ef-ab3b-22344d083d2c" TargetMode="External"/><Relationship Id="rId_hyperlink_32" Type="http://schemas.openxmlformats.org/officeDocument/2006/relationships/hyperlink" Target="https://www.test.lavrpack.ru/catalog/?product=a7593b5f-bb95-11ef-ab3b-22344d083d2c%23bec04a30-bb95-11ef-ab3b-22344d083d2c" TargetMode="External"/><Relationship Id="rId_hyperlink_33" Type="http://schemas.openxmlformats.org/officeDocument/2006/relationships/hyperlink" Target="https://www.test.lavrpack.ru/catalog/?product=a7593b5f-bb95-11ef-ab3b-22344d083d2c%23c4f63e31-bb95-11ef-ab3b-22344d083d2c" TargetMode="External"/><Relationship Id="rId_hyperlink_34" Type="http://schemas.openxmlformats.org/officeDocument/2006/relationships/hyperlink" Target="https://www.test.lavrpack.ru/catalog/?product=d30a1965-edb6-11ee-9f05-00e01a6800eb%230170f88f-4d27-11f1-ab50-22344d083d2c" TargetMode="External"/><Relationship Id="rId_hyperlink_35" Type="http://schemas.openxmlformats.org/officeDocument/2006/relationships/hyperlink" Target="https://www.test.lavrpack.ru/catalog/?product=d30a1965-edb6-11ee-9f05-00e01a6800eb%23a24103a2-967c-11ef-ab37-22344d083d2c" TargetMode="External"/><Relationship Id="rId_hyperlink_36" Type="http://schemas.openxmlformats.org/officeDocument/2006/relationships/hyperlink" Target="https://www.test.lavrpack.ru/catalog/?product=87b7175b-edb2-11ee-9f05-00e01a6800eb%239b6195be-edb2-11ee-9f05-00e01a6800eb" TargetMode="External"/><Relationship Id="rId_hyperlink_37" Type="http://schemas.openxmlformats.org/officeDocument/2006/relationships/hyperlink" Target="https://www.test.lavrpack.ru/catalog/?product=87b7175b-edb2-11ee-9f05-00e01a6800eb%238e4c659d-edb2-11ee-9f05-00e01a6800eb" TargetMode="External"/><Relationship Id="rId_hyperlink_38" Type="http://schemas.openxmlformats.org/officeDocument/2006/relationships/hyperlink" Target="https://www.test.lavrpack.ru/catalog/?product=431b56db-bb94-11ef-ab3b-22344d083d2c%2355cf1c2a-bb94-11ef-ab3b-22344d083d2c" TargetMode="External"/><Relationship Id="rId_hyperlink_39" Type="http://schemas.openxmlformats.org/officeDocument/2006/relationships/hyperlink" Target="https://www.test.lavrpack.ru/catalog/?product=602118e0-1aff-11ee-8f7e-00e01a6800eb%2394ae313e-1b01-11ee-8f7e-00e01a6800eb" TargetMode="External"/><Relationship Id="rId_hyperlink_40" Type="http://schemas.openxmlformats.org/officeDocument/2006/relationships/hyperlink" Target="https://www.test.lavrpack.ru/catalog/?product=602118e0-1aff-11ee-8f7e-00e01a6800eb%23ea7064bd-1b01-11ee-8f7e-00e01a6800eb" TargetMode="External"/><Relationship Id="rId_hyperlink_41" Type="http://schemas.openxmlformats.org/officeDocument/2006/relationships/hyperlink" Target="https://www.test.lavrpack.ru/catalog/?product=602118e0-1aff-11ee-8f7e-00e01a6800eb%2399a9db33-8bb9-11ef-ab5c-1cfd08767543" TargetMode="External"/><Relationship Id="rId_hyperlink_42" Type="http://schemas.openxmlformats.org/officeDocument/2006/relationships/hyperlink" Target="https://www.test.lavrpack.ru/catalog/?product=602118e0-1aff-11ee-8f7e-00e01a6800eb%23a6581c26-8bb9-11ef-ab5c-1cfd08767543" TargetMode="External"/><Relationship Id="rId_hyperlink_43" Type="http://schemas.openxmlformats.org/officeDocument/2006/relationships/hyperlink" Target="https://www.test.lavrpack.ru/catalog/?product=602118e0-1aff-11ee-8f7e-00e01a6800eb%238c65c9c6-8bb9-11ef-ab5c-1cfd08767543" TargetMode="External"/><Relationship Id="rId_hyperlink_44" Type="http://schemas.openxmlformats.org/officeDocument/2006/relationships/hyperlink" Target="https://www.test.lavrpack.ru/catalog/?product=602118e0-1aff-11ee-8f7e-00e01a6800eb%23c722fd89-8bb9-11ef-ab5c-1cfd08767543" TargetMode="External"/><Relationship Id="rId_hyperlink_45" Type="http://schemas.openxmlformats.org/officeDocument/2006/relationships/hyperlink" Target="https://www.test.lavrpack.ru/catalog/?product=602118e0-1aff-11ee-8f7e-00e01a6800eb%2384107634-1b01-11ee-8f7e-00e01a6800eb" TargetMode="External"/><Relationship Id="rId_hyperlink_46" Type="http://schemas.openxmlformats.org/officeDocument/2006/relationships/hyperlink" Target="https://www.test.lavrpack.ru/catalog/?product=3db3b8c7-d6da-11ee-a0ad-00e01a6800eb%23703d0fa6-d6da-11ee-a0ad-00e01a6800eb" TargetMode="External"/><Relationship Id="rId_hyperlink_47" Type="http://schemas.openxmlformats.org/officeDocument/2006/relationships/hyperlink" Target="https://www.test.lavrpack.ru/catalog/?product=3db3b8c7-d6da-11ee-a0ad-00e01a6800eb%2351bfcf84-d6da-11ee-a0ad-00e01a6800eb" TargetMode="External"/><Relationship Id="rId_hyperlink_48" Type="http://schemas.openxmlformats.org/officeDocument/2006/relationships/hyperlink" Target="https://www.test.lavrpack.ru/catalog/?product=aaa0c0f9-d6d3-11ee-a0ad-00e01a6800eb%2318b3a2f5-d6d4-11ee-a0ad-00e01a6800eb" TargetMode="External"/><Relationship Id="rId_hyperlink_49" Type="http://schemas.openxmlformats.org/officeDocument/2006/relationships/hyperlink" Target="https://www.test.lavrpack.ru/catalog/?product=aaa0c0f9-d6d3-11ee-a0ad-00e01a6800eb%23c9fbdf1d-d6d4-11ee-a0ad-00e01a6800eb" TargetMode="External"/><Relationship Id="rId_hyperlink_50" Type="http://schemas.openxmlformats.org/officeDocument/2006/relationships/hyperlink" Target="https://www.test.lavrpack.ru/catalog/?product=aaa0c0f9-d6d3-11ee-a0ad-00e01a6800eb%238f3ca91a-d6d4-11ee-a0ad-00e01a6800eb" TargetMode="External"/><Relationship Id="rId_hyperlink_51" Type="http://schemas.openxmlformats.org/officeDocument/2006/relationships/hyperlink" Target="https://www.test.lavrpack.ru/catalog/?product=aaa0c0f9-d6d3-11ee-a0ad-00e01a6800eb%237a17afea-d6d4-11ee-a0ad-00e01a6800eb" TargetMode="External"/><Relationship Id="rId_hyperlink_52" Type="http://schemas.openxmlformats.org/officeDocument/2006/relationships/hyperlink" Target="https://www.test.lavrpack.ru/catalog/?product=aaa0c0f9-d6d3-11ee-a0ad-00e01a6800eb%23af8a1591-d6d4-11ee-a0ad-00e01a6800eb" TargetMode="External"/><Relationship Id="rId_hyperlink_53" Type="http://schemas.openxmlformats.org/officeDocument/2006/relationships/hyperlink" Target="https://www.test.lavrpack.ru/catalog/?product=aaa0c0f9-d6d3-11ee-a0ad-00e01a6800eb%230dcbf917-5886-11ef-ab50-1cfd08767542" TargetMode="External"/><Relationship Id="rId_hyperlink_54" Type="http://schemas.openxmlformats.org/officeDocument/2006/relationships/hyperlink" Target="https://www.test.lavrpack.ru/catalog/?product=aaa0c0f9-d6d3-11ee-a0ad-00e01a6800eb%23e620c672-d6d3-11ee-a0ad-00e01a6800eb" TargetMode="External"/><Relationship Id="rId_hyperlink_55" Type="http://schemas.openxmlformats.org/officeDocument/2006/relationships/hyperlink" Target="https://www.test.lavrpack.ru/catalog/?product=aaa0c0f9-d6d3-11ee-a0ad-00e01a6800eb%23f447062a-3783-11ef-ab44-22344d083d2c" TargetMode="External"/><Relationship Id="rId_hyperlink_56" Type="http://schemas.openxmlformats.org/officeDocument/2006/relationships/hyperlink" Target="https://www.test.lavrpack.ru/catalog/?product=aaa0c0f9-d6d3-11ee-a0ad-00e01a6800eb%236be017e8-d6d4-11ee-a0ad-00e01a6800eb" TargetMode="External"/><Relationship Id="rId_hyperlink_57" Type="http://schemas.openxmlformats.org/officeDocument/2006/relationships/hyperlink" Target="https://www.test.lavrpack.ru/catalog/?product=aaa0c0f9-d6d3-11ee-a0ad-00e01a6800eb%23f0f126d1-d6d3-11ee-a0ad-00e01a6800eb" TargetMode="External"/><Relationship Id="rId_hyperlink_58" Type="http://schemas.openxmlformats.org/officeDocument/2006/relationships/hyperlink" Target="https://www.test.lavrpack.ru/catalog/?product=aaa0c0f9-d6d3-11ee-a0ad-00e01a6800eb%2318b12440-3784-11ef-ab44-22344d083d2c" TargetMode="External"/><Relationship Id="rId_hyperlink_59" Type="http://schemas.openxmlformats.org/officeDocument/2006/relationships/hyperlink" Target="https://www.test.lavrpack.ru/catalog/?product=aaa0c0f9-d6d3-11ee-a0ad-00e01a6800eb%23b9d2c780-d6d4-11ee-a0ad-00e01a6800eb" TargetMode="External"/><Relationship Id="rId_hyperlink_60" Type="http://schemas.openxmlformats.org/officeDocument/2006/relationships/hyperlink" Target="https://www.test.lavrpack.ru/catalog/?product=06ee3f41-d6d3-11ee-a0ad-00e01a6800eb%2310c71095-d6d3-11ee-a0ad-00e01a6800eb" TargetMode="External"/><Relationship Id="rId_hyperlink_61" Type="http://schemas.openxmlformats.org/officeDocument/2006/relationships/hyperlink" Target="https://www.test.lavrpack.ru/catalog/?product=06ee3f41-d6d3-11ee-a0ad-00e01a6800eb%2348347b45-d6d3-11ee-a0ad-00e01a6800eb" TargetMode="External"/><Relationship Id="rId_hyperlink_62" Type="http://schemas.openxmlformats.org/officeDocument/2006/relationships/hyperlink" Target="https://www.test.lavrpack.ru/catalog/?product=06ee3f41-d6d3-11ee-a0ad-00e01a6800eb%231fde69e0-d6d3-11ee-a0ad-00e01a6800eb" TargetMode="External"/><Relationship Id="rId_hyperlink_63" Type="http://schemas.openxmlformats.org/officeDocument/2006/relationships/hyperlink" Target="https://www.test.lavrpack.ru/catalog/?product=1a5ea0af-d6d1-11ee-a0ad-00e01a6800eb%237ab0ef65-d6d1-11ee-a0ad-00e01a6800eb" TargetMode="External"/><Relationship Id="rId_hyperlink_64" Type="http://schemas.openxmlformats.org/officeDocument/2006/relationships/hyperlink" Target="https://www.test.lavrpack.ru/catalog/?product=8cdb344d-d6cf-11ee-a0ad-00e01a6800eb%2332b856b4-d6d0-11ee-a0ad-00e01a6800eb" TargetMode="External"/><Relationship Id="rId_hyperlink_65" Type="http://schemas.openxmlformats.org/officeDocument/2006/relationships/hyperlink" Target="https://www.test.lavrpack.ru/catalog/?product=8cdb344d-d6cf-11ee-a0ad-00e01a6800eb%231f684ce6-d6d0-11ee-a0ad-00e01a6800eb" TargetMode="External"/><Relationship Id="rId_hyperlink_66" Type="http://schemas.openxmlformats.org/officeDocument/2006/relationships/hyperlink" Target="https://www.test.lavrpack.ru/catalog/?product=8cdb344d-d6cf-11ee-a0ad-00e01a6800eb%2367b618ef-d6d0-11ee-a0ad-00e01a6800eb" TargetMode="External"/><Relationship Id="rId_hyperlink_67" Type="http://schemas.openxmlformats.org/officeDocument/2006/relationships/hyperlink" Target="https://www.test.lavrpack.ru/catalog/?product=8cdb344d-d6cf-11ee-a0ad-00e01a6800eb%2378b30b17-d6d0-11ee-a0ad-00e01a6800eb" TargetMode="External"/><Relationship Id="rId_hyperlink_68" Type="http://schemas.openxmlformats.org/officeDocument/2006/relationships/hyperlink" Target="https://www.test.lavrpack.ru/catalog/?product=8cdb344d-d6cf-11ee-a0ad-00e01a6800eb%23b4518458-d6cf-11ee-a0ad-00e01a6800eb" TargetMode="External"/><Relationship Id="rId_hyperlink_69" Type="http://schemas.openxmlformats.org/officeDocument/2006/relationships/hyperlink" Target="https://www.test.lavrpack.ru/catalog/?product=b1692307-d6c4-11ee-a0ad-00e01a6800eb%23c0cca87c-d6c4-11ee-a0ad-00e01a6800eb" TargetMode="External"/><Relationship Id="rId_hyperlink_70" Type="http://schemas.openxmlformats.org/officeDocument/2006/relationships/hyperlink" Target="https://www.test.lavrpack.ru/catalog/?product=b1692307-d6c4-11ee-a0ad-00e01a6800eb%23c7a49d45-d6c4-11ee-a0ad-00e01a6800eb" TargetMode="External"/><Relationship Id="rId_hyperlink_71" Type="http://schemas.openxmlformats.org/officeDocument/2006/relationships/hyperlink" Target="https://www.test.lavrpack.ru/catalog/?product=b1692307-d6c4-11ee-a0ad-00e01a6800eb%23e3be1bb2-d6c4-11ee-a0ad-00e01a6800eb" TargetMode="External"/><Relationship Id="rId_hyperlink_72" Type="http://schemas.openxmlformats.org/officeDocument/2006/relationships/hyperlink" Target="https://www.test.lavrpack.ru/catalog/?product=b1692307-d6c4-11ee-a0ad-00e01a6800eb%23e9bd7343-d6c4-11ee-a0ad-00e01a6800eb" TargetMode="External"/><Relationship Id="rId_hyperlink_73" Type="http://schemas.openxmlformats.org/officeDocument/2006/relationships/hyperlink" Target="https://www.test.lavrpack.ru/catalog/?product=b1692307-d6c4-11ee-a0ad-00e01a6800eb%23d1a1232c-d6c4-11ee-a0ad-00e01a6800eb" TargetMode="External"/><Relationship Id="rId_hyperlink_74" Type="http://schemas.openxmlformats.org/officeDocument/2006/relationships/hyperlink" Target="https://www.test.lavrpack.ru/catalog/?product=b1692307-d6c4-11ee-a0ad-00e01a6800eb%23dafe2cd1-d6c4-11ee-a0ad-00e01a6800eb" TargetMode="External"/><Relationship Id="rId_hyperlink_75" Type="http://schemas.openxmlformats.org/officeDocument/2006/relationships/hyperlink" Target="https://www.test.lavrpack.ru/catalog/?product=b1692307-d6c4-11ee-a0ad-00e01a6800eb%23b8ae972c-d6c4-11ee-a0ad-00e01a6800eb" TargetMode="External"/><Relationship Id="rId_hyperlink_76" Type="http://schemas.openxmlformats.org/officeDocument/2006/relationships/hyperlink" Target="https://www.test.lavrpack.ru/catalog/?product=2b777b2d-d637-11ee-a0ad-00e01a6800eb%23831ce604-d637-11ee-a0ad-00e01a6800eb" TargetMode="External"/><Relationship Id="rId_hyperlink_77" Type="http://schemas.openxmlformats.org/officeDocument/2006/relationships/hyperlink" Target="https://www.test.lavrpack.ru/catalog/?product=2b777b2d-d637-11ee-a0ad-00e01a6800eb%236aaae453-d637-11ee-a0ad-00e01a6800eb" TargetMode="External"/><Relationship Id="rId_hyperlink_78" Type="http://schemas.openxmlformats.org/officeDocument/2006/relationships/hyperlink" Target="https://www.test.lavrpack.ru/catalog/?product=2b777b2d-d637-11ee-a0ad-00e01a6800eb%2341bc7b14-d637-11ee-a0ad-00e01a6800eb" TargetMode="External"/><Relationship Id="rId_hyperlink_79" Type="http://schemas.openxmlformats.org/officeDocument/2006/relationships/hyperlink" Target="https://www.test.lavrpack.ru/catalog/?product=2b777b2d-d637-11ee-a0ad-00e01a6800eb%2350c32a98-d637-11ee-a0ad-00e01a6800eb" TargetMode="External"/><Relationship Id="rId_hyperlink_80" Type="http://schemas.openxmlformats.org/officeDocument/2006/relationships/hyperlink" Target="https://www.test.lavrpack.ru/catalog/?product=745908ee-d624-11ee-a0ad-00e01a6800eb%237cf2e1cb-d624-11ee-a0ad-00e01a6800eb" TargetMode="External"/><Relationship Id="rId_hyperlink_81" Type="http://schemas.openxmlformats.org/officeDocument/2006/relationships/hyperlink" Target="https://www.test.lavrpack.ru/catalog/?product=745908ee-d624-11ee-a0ad-00e01a6800eb%2385585c63-d624-11ee-a0ad-00e01a6800eb" TargetMode="External"/><Relationship Id="rId_hyperlink_82" Type="http://schemas.openxmlformats.org/officeDocument/2006/relationships/hyperlink" Target="https://www.test.lavrpack.ru/catalog/?product=47dbb00b-ea9f-11ee-9f05-00e01a6800eb%235ff0dbff-ea9f-11ee-9f05-00e01a6800eb" TargetMode="External"/><Relationship Id="rId_hyperlink_83" Type="http://schemas.openxmlformats.org/officeDocument/2006/relationships/hyperlink" Target="https://www.test.lavrpack.ru/catalog/?product=cfdd19b9-d620-11ee-a0ad-00e01a6800eb%2318914136-d621-11ee-a0ad-00e01a6800eb" TargetMode="External"/><Relationship Id="rId_hyperlink_84" Type="http://schemas.openxmlformats.org/officeDocument/2006/relationships/hyperlink" Target="https://www.test.lavrpack.ru/catalog/?product=cfdd19b9-d620-11ee-a0ad-00e01a6800eb%2331d97ebf-d621-11ee-a0ad-00e01a6800eb" TargetMode="External"/><Relationship Id="rId_hyperlink_85" Type="http://schemas.openxmlformats.org/officeDocument/2006/relationships/hyperlink" Target="https://www.test.lavrpack.ru/catalog/?product=655c33bf-d61b-11ee-a0ad-00e01a6800eb%23e605f32d-d61c-11ee-a0ad-00e01a6800eb" TargetMode="External"/><Relationship Id="rId_hyperlink_86" Type="http://schemas.openxmlformats.org/officeDocument/2006/relationships/hyperlink" Target="https://www.test.lavrpack.ru/catalog/?product=655c33bf-d61b-11ee-a0ad-00e01a6800eb%233ef1f7de-d61e-11ee-a0ad-00e01a6800eb" TargetMode="External"/><Relationship Id="rId_hyperlink_87" Type="http://schemas.openxmlformats.org/officeDocument/2006/relationships/hyperlink" Target="https://www.test.lavrpack.ru/catalog/?product=655c33bf-d61b-11ee-a0ad-00e01a6800eb%23d9b3f3ab-d61c-11ee-a0ad-00e01a6800eb" TargetMode="External"/><Relationship Id="rId_hyperlink_88" Type="http://schemas.openxmlformats.org/officeDocument/2006/relationships/hyperlink" Target="https://www.test.lavrpack.ru/catalog/?product=655c33bf-d61b-11ee-a0ad-00e01a6800eb%23ed60d393-d61c-11ee-a0ad-00e01a6800eb" TargetMode="External"/><Relationship Id="rId_hyperlink_89" Type="http://schemas.openxmlformats.org/officeDocument/2006/relationships/hyperlink" Target="https://www.test.lavrpack.ru/catalog/?product=655c33bf-d61b-11ee-a0ad-00e01a6800eb%23c01f0ba6-d61b-11ee-a0ad-00e01a6800eb" TargetMode="External"/><Relationship Id="rId_hyperlink_90" Type="http://schemas.openxmlformats.org/officeDocument/2006/relationships/hyperlink" Target="https://www.test.lavrpack.ru/catalog/?product=655c33bf-d61b-11ee-a0ad-00e01a6800eb%232630eaa9-d61d-11ee-a0ad-00e01a6800eb" TargetMode="External"/><Relationship Id="rId_hyperlink_91" Type="http://schemas.openxmlformats.org/officeDocument/2006/relationships/hyperlink" Target="https://www.test.lavrpack.ru/catalog/?product=655c33bf-d61b-11ee-a0ad-00e01a6800eb%23b9a8af43-d61b-11ee-a0ad-00e01a6800eb" TargetMode="External"/><Relationship Id="rId_hyperlink_92" Type="http://schemas.openxmlformats.org/officeDocument/2006/relationships/hyperlink" Target="https://www.test.lavrpack.ru/catalog/?product=655c33bf-d61b-11ee-a0ad-00e01a6800eb%23c57f658a-d61c-11ee-a0ad-00e01a6800eb" TargetMode="External"/><Relationship Id="rId_hyperlink_93" Type="http://schemas.openxmlformats.org/officeDocument/2006/relationships/hyperlink" Target="https://www.test.lavrpack.ru/catalog/?product=655c33bf-d61b-11ee-a0ad-00e01a6800eb%23dfff777b-d61c-11ee-a0ad-00e01a6800eb" TargetMode="External"/><Relationship Id="rId_hyperlink_94" Type="http://schemas.openxmlformats.org/officeDocument/2006/relationships/hyperlink" Target="https://www.test.lavrpack.ru/catalog/?product=655c33bf-d61b-11ee-a0ad-00e01a6800eb%2319cbe06b-d61d-11ee-a0ad-00e01a6800eb" TargetMode="External"/><Relationship Id="rId_hyperlink_95" Type="http://schemas.openxmlformats.org/officeDocument/2006/relationships/hyperlink" Target="https://www.test.lavrpack.ru/catalog/?product=655c33bf-d61b-11ee-a0ad-00e01a6800eb%2345234c32-d61e-11ee-a0ad-00e01a6800eb" TargetMode="External"/><Relationship Id="rId_hyperlink_96" Type="http://schemas.openxmlformats.org/officeDocument/2006/relationships/hyperlink" Target="https://www.test.lavrpack.ru/catalog/?product=655c33bf-d61b-11ee-a0ad-00e01a6800eb%23fa2776ef-d61c-11ee-a0ad-00e01a6800eb" TargetMode="External"/><Relationship Id="rId_hyperlink_97" Type="http://schemas.openxmlformats.org/officeDocument/2006/relationships/hyperlink" Target="https://www.test.lavrpack.ru/catalog/?product=655c33bf-d61b-11ee-a0ad-00e01a6800eb%23cc038b9f-d61b-11ee-a0ad-00e01a6800eb" TargetMode="External"/><Relationship Id="rId_hyperlink_98" Type="http://schemas.openxmlformats.org/officeDocument/2006/relationships/hyperlink" Target="https://www.test.lavrpack.ru/catalog/?product=655c33bf-d61b-11ee-a0ad-00e01a6800eb%234bc6e347-d61e-11ee-a0ad-00e01a6800eb" TargetMode="External"/><Relationship Id="rId_hyperlink_99" Type="http://schemas.openxmlformats.org/officeDocument/2006/relationships/hyperlink" Target="https://www.test.lavrpack.ru/catalog/?product=655c33bf-d61b-11ee-a0ad-00e01a6800eb%2312a7bf99-d61d-11ee-a0ad-00e01a6800eb" TargetMode="External"/><Relationship Id="rId_hyperlink_100" Type="http://schemas.openxmlformats.org/officeDocument/2006/relationships/hyperlink" Target="https://www.test.lavrpack.ru/catalog/?product=655c33bf-d61b-11ee-a0ad-00e01a6800eb%23521266f2-d61e-11ee-a0ad-00e01a6800eb" TargetMode="External"/><Relationship Id="rId_hyperlink_101" Type="http://schemas.openxmlformats.org/officeDocument/2006/relationships/hyperlink" Target="https://www.test.lavrpack.ru/catalog/?product=a9bdfbb7-901d-11ee-a8ad-00e01a6800eb%23759bb60e-901e-11ee-a8ad-00e01a6800eb" TargetMode="External"/><Relationship Id="rId_hyperlink_102" Type="http://schemas.openxmlformats.org/officeDocument/2006/relationships/hyperlink" Target="https://www.test.lavrpack.ru/catalog/?product=a9bdfbb7-901d-11ee-a8ad-00e01a6800eb%2318224a63-901f-11ee-a8ad-00e01a6800eb" TargetMode="External"/><Relationship Id="rId_hyperlink_103" Type="http://schemas.openxmlformats.org/officeDocument/2006/relationships/hyperlink" Target="https://www.test.lavrpack.ru/catalog/?product=bc20a207-1734-11ee-8f7e-00e01a6800eb%23cb48a505-1734-11ee-8f7e-00e01a6800eb" TargetMode="External"/><Relationship Id="rId_hyperlink_104" Type="http://schemas.openxmlformats.org/officeDocument/2006/relationships/hyperlink" Target="https://www.test.lavrpack.ru/catalog/?product=bc20a207-1734-11ee-8f7e-00e01a6800eb%23d3ee64c4-1734-11ee-8f7e-00e01a6800eb" TargetMode="External"/><Relationship Id="rId_hyperlink_105" Type="http://schemas.openxmlformats.org/officeDocument/2006/relationships/hyperlink" Target="https://www.test.lavrpack.ru/catalog/?product=162bf7b6-0910-11ef-9f05-00e01a6800eb%232c924a85-0910-11ef-9f05-00e01a6800eb" TargetMode="External"/><Relationship Id="rId_hyperlink_106" Type="http://schemas.openxmlformats.org/officeDocument/2006/relationships/hyperlink" Target="https://www.test.lavrpack.ru/catalog/?product=162bf7b6-0910-11ef-9f05-00e01a6800eb%233642b8d9-0915-11ef-9f05-00e01a6800eb" TargetMode="External"/><Relationship Id="rId_hyperlink_107" Type="http://schemas.openxmlformats.org/officeDocument/2006/relationships/hyperlink" Target="https://www.test.lavrpack.ru/catalog/?product=162bf7b6-0910-11ef-9f05-00e01a6800eb%23adbc29fa-0915-11ef-9f05-00e01a6800eb" TargetMode="External"/><Relationship Id="rId_hyperlink_108" Type="http://schemas.openxmlformats.org/officeDocument/2006/relationships/hyperlink" Target="https://www.test.lavrpack.ru/catalog/?product=162bf7b6-0910-11ef-9f05-00e01a6800eb%23f565a2e3-0910-11ef-9f05-00e01a6800eb" TargetMode="External"/><Relationship Id="rId_hyperlink_109" Type="http://schemas.openxmlformats.org/officeDocument/2006/relationships/hyperlink" Target="https://www.test.lavrpack.ru/catalog/?product=162bf7b6-0910-11ef-9f05-00e01a6800eb%239b5cf483-0911-11ef-9f05-00e01a6800eb" TargetMode="External"/><Relationship Id="rId_hyperlink_110" Type="http://schemas.openxmlformats.org/officeDocument/2006/relationships/hyperlink" Target="https://www.test.lavrpack.ru/catalog/?product=162bf7b6-0910-11ef-9f05-00e01a6800eb%23bc666d8b-0911-11ef-9f05-00e01a6800eb" TargetMode="External"/><Relationship Id="rId_hyperlink_111" Type="http://schemas.openxmlformats.org/officeDocument/2006/relationships/hyperlink" Target="https://www.test.lavrpack.ru/catalog/?product=162bf7b6-0910-11ef-9f05-00e01a6800eb%23c88c2eaf-0913-11ef-9f05-00e01a6800eb" TargetMode="External"/><Relationship Id="rId_hyperlink_112" Type="http://schemas.openxmlformats.org/officeDocument/2006/relationships/hyperlink" Target="https://www.test.lavrpack.ru/catalog/?product=162bf7b6-0910-11ef-9f05-00e01a6800eb%23efcbbf28-0913-11ef-9f05-00e01a6800eb" TargetMode="External"/><Relationship Id="rId_hyperlink_113" Type="http://schemas.openxmlformats.org/officeDocument/2006/relationships/hyperlink" Target="https://www.test.lavrpack.ru/catalog/?product=162bf7b6-0910-11ef-9f05-00e01a6800eb%2361c21e2d-0915-11ef-9f05-00e01a6800eb" TargetMode="External"/><Relationship Id="rId_hyperlink_114" Type="http://schemas.openxmlformats.org/officeDocument/2006/relationships/hyperlink" Target="https://www.test.lavrpack.ru/catalog/?product=162bf7b6-0910-11ef-9f05-00e01a6800eb%2383b46062-0914-11ef-9f05-00e01a6800eb" TargetMode="External"/><Relationship Id="rId_hyperlink_115" Type="http://schemas.openxmlformats.org/officeDocument/2006/relationships/hyperlink" Target="https://www.test.lavrpack.ru/catalog/?product=162bf7b6-0910-11ef-9f05-00e01a6800eb%2356e8384a-0915-11ef-9f05-00e01a6800eb" TargetMode="External"/><Relationship Id="rId_hyperlink_116" Type="http://schemas.openxmlformats.org/officeDocument/2006/relationships/hyperlink" Target="https://www.test.lavrpack.ru/catalog/?product=162bf7b6-0910-11ef-9f05-00e01a6800eb%23f45b1d3b-0915-11ef-9f05-00e01a6800eb" TargetMode="External"/><Relationship Id="rId_hyperlink_117" Type="http://schemas.openxmlformats.org/officeDocument/2006/relationships/hyperlink" Target="https://www.test.lavrpack.ru/catalog/?product=162bf7b6-0910-11ef-9f05-00e01a6800eb%23e7c21e29-0911-11ef-9f05-00e01a6800eb" TargetMode="External"/><Relationship Id="rId_hyperlink_118" Type="http://schemas.openxmlformats.org/officeDocument/2006/relationships/hyperlink" Target="https://www.test.lavrpack.ru/catalog/?product=162bf7b6-0910-11ef-9f05-00e01a6800eb%2327278490-0912-11ef-9f05-00e01a6800eb" TargetMode="External"/><Relationship Id="rId_hyperlink_119" Type="http://schemas.openxmlformats.org/officeDocument/2006/relationships/hyperlink" Target="https://www.test.lavrpack.ru/catalog/?product=162bf7b6-0910-11ef-9f05-00e01a6800eb%2335f2b1e4-0912-11ef-9f05-00e01a6800eb" TargetMode="External"/><Relationship Id="rId_hyperlink_120" Type="http://schemas.openxmlformats.org/officeDocument/2006/relationships/hyperlink" Target="https://www.test.lavrpack.ru/catalog/?product=162bf7b6-0910-11ef-9f05-00e01a6800eb%2394708f34-0913-11ef-9f05-00e01a6800eb" TargetMode="External"/><Relationship Id="rId_hyperlink_121" Type="http://schemas.openxmlformats.org/officeDocument/2006/relationships/hyperlink" Target="https://www.test.lavrpack.ru/catalog/?product=162bf7b6-0910-11ef-9f05-00e01a6800eb%23b2499072-0913-11ef-9f05-00e01a6800eb" TargetMode="External"/><Relationship Id="rId_hyperlink_122" Type="http://schemas.openxmlformats.org/officeDocument/2006/relationships/hyperlink" Target="https://www.test.lavrpack.ru/catalog/?product=162bf7b6-0910-11ef-9f05-00e01a6800eb%23199f2a9d-0915-11ef-9f05-00e01a6800eb" TargetMode="External"/><Relationship Id="rId_hyperlink_123" Type="http://schemas.openxmlformats.org/officeDocument/2006/relationships/hyperlink" Target="https://www.test.lavrpack.ru/catalog/?product=162bf7b6-0910-11ef-9f05-00e01a6800eb%23399c2633-0916-11ef-9f05-00e01a6800eb" TargetMode="External"/><Relationship Id="rId_hyperlink_124" Type="http://schemas.openxmlformats.org/officeDocument/2006/relationships/hyperlink" Target="https://www.test.lavrpack.ru/catalog/?product=162bf7b6-0910-11ef-9f05-00e01a6800eb%23422edb39-0916-11ef-9f05-00e01a6800eb" TargetMode="External"/><Relationship Id="rId_hyperlink_125" Type="http://schemas.openxmlformats.org/officeDocument/2006/relationships/hyperlink" Target="https://www.test.lavrpack.ru/catalog/?product=162bf7b6-0910-11ef-9f05-00e01a6800eb%23a59d1cbb-0913-11ef-9f05-00e01a6800eb" TargetMode="External"/><Relationship Id="rId_hyperlink_126" Type="http://schemas.openxmlformats.org/officeDocument/2006/relationships/hyperlink" Target="https://www.test.lavrpack.ru/catalog/?product=162bf7b6-0910-11ef-9f05-00e01a6800eb%23dabd1a32-0910-11ef-9f05-00e01a6800eb" TargetMode="External"/><Relationship Id="rId_hyperlink_127" Type="http://schemas.openxmlformats.org/officeDocument/2006/relationships/hyperlink" Target="https://www.test.lavrpack.ru/catalog/?product=162bf7b6-0910-11ef-9f05-00e01a6800eb%23afcaa397-0911-11ef-9f05-00e01a6800eb" TargetMode="External"/><Relationship Id="rId_hyperlink_128" Type="http://schemas.openxmlformats.org/officeDocument/2006/relationships/hyperlink" Target="https://www.test.lavrpack.ru/catalog/?product=162bf7b6-0910-11ef-9f05-00e01a6800eb%23fb122878-0911-11ef-9f05-00e01a6800eb" TargetMode="External"/><Relationship Id="rId_hyperlink_129" Type="http://schemas.openxmlformats.org/officeDocument/2006/relationships/hyperlink" Target="https://www.test.lavrpack.ru/catalog/?product=162bf7b6-0910-11ef-9f05-00e01a6800eb%23340c1d2a-0910-11ef-9f05-00e01a6800eb" TargetMode="External"/><Relationship Id="rId_hyperlink_130" Type="http://schemas.openxmlformats.org/officeDocument/2006/relationships/hyperlink" Target="https://www.test.lavrpack.ru/catalog/?product=162bf7b6-0910-11ef-9f05-00e01a6800eb%2338522e8a-0913-11ef-9f05-00e01a6800eb" TargetMode="External"/><Relationship Id="rId_hyperlink_131" Type="http://schemas.openxmlformats.org/officeDocument/2006/relationships/hyperlink" Target="https://www.test.lavrpack.ru/catalog/?product=162bf7b6-0910-11ef-9f05-00e01a6800eb%2378f8ee37-0913-11ef-9f05-00e01a6800eb" TargetMode="External"/><Relationship Id="rId_hyperlink_132" Type="http://schemas.openxmlformats.org/officeDocument/2006/relationships/hyperlink" Target="https://www.test.lavrpack.ru/catalog/?product=162bf7b6-0910-11ef-9f05-00e01a6800eb%23287fc444-0915-11ef-9f05-00e01a6800eb" TargetMode="External"/><Relationship Id="rId_hyperlink_133" Type="http://schemas.openxmlformats.org/officeDocument/2006/relationships/hyperlink" Target="https://www.test.lavrpack.ru/catalog/?product=162bf7b6-0910-11ef-9f05-00e01a6800eb%23a23ba3c7-0915-11ef-9f05-00e01a6800eb" TargetMode="External"/><Relationship Id="rId_hyperlink_134" Type="http://schemas.openxmlformats.org/officeDocument/2006/relationships/hyperlink" Target="https://www.test.lavrpack.ru/catalog/?product=162bf7b6-0910-11ef-9f05-00e01a6800eb%233123a09a-0916-11ef-9f05-00e01a6800eb" TargetMode="External"/><Relationship Id="rId_hyperlink_135" Type="http://schemas.openxmlformats.org/officeDocument/2006/relationships/hyperlink" Target="https://www.test.lavrpack.ru/catalog/?product=162bf7b6-0910-11ef-9f05-00e01a6800eb%2367ff59b9-0915-11ef-9f05-00e01a6800eb" TargetMode="External"/><Relationship Id="rId_hyperlink_136" Type="http://schemas.openxmlformats.org/officeDocument/2006/relationships/hyperlink" Target="https://www.test.lavrpack.ru/catalog/?product=162bf7b6-0910-11ef-9f05-00e01a6800eb%2346f5cbf4-0910-11ef-9f05-00e01a6800eb" TargetMode="External"/><Relationship Id="rId_hyperlink_137" Type="http://schemas.openxmlformats.org/officeDocument/2006/relationships/hyperlink" Target="https://www.test.lavrpack.ru/catalog/?product=162bf7b6-0910-11ef-9f05-00e01a6800eb%23aa08b1fa-0910-11ef-9f05-00e01a6800eb" TargetMode="External"/><Relationship Id="rId_hyperlink_138" Type="http://schemas.openxmlformats.org/officeDocument/2006/relationships/hyperlink" Target="https://www.test.lavrpack.ru/catalog/?product=162bf7b6-0910-11ef-9f05-00e01a6800eb%2386427caf-0913-11ef-9f05-00e01a6800eb" TargetMode="External"/><Relationship Id="rId_hyperlink_139" Type="http://schemas.openxmlformats.org/officeDocument/2006/relationships/hyperlink" Target="https://www.test.lavrpack.ru/catalog/?product=162bf7b6-0910-11ef-9f05-00e01a6800eb%23def4e319-0913-11ef-9f05-00e01a6800eb" TargetMode="External"/><Relationship Id="rId_hyperlink_140" Type="http://schemas.openxmlformats.org/officeDocument/2006/relationships/hyperlink" Target="https://www.test.lavrpack.ru/catalog/?product=162bf7b6-0910-11ef-9f05-00e01a6800eb%2340e84073-0915-11ef-9f05-00e01a6800eb" TargetMode="External"/><Relationship Id="rId_hyperlink_141" Type="http://schemas.openxmlformats.org/officeDocument/2006/relationships/hyperlink" Target="https://www.test.lavrpack.ru/catalog/?product=162bf7b6-0910-11ef-9f05-00e01a6800eb%232e84c657-0912-11ef-9f05-00e01a6800eb" TargetMode="External"/><Relationship Id="rId_hyperlink_142" Type="http://schemas.openxmlformats.org/officeDocument/2006/relationships/hyperlink" Target="https://www.test.lavrpack.ru/catalog/?product=162bf7b6-0910-11ef-9f05-00e01a6800eb%23456319d1-0914-11ef-9f05-00e01a6800eb" TargetMode="External"/><Relationship Id="rId_hyperlink_143" Type="http://schemas.openxmlformats.org/officeDocument/2006/relationships/hyperlink" Target="https://www.test.lavrpack.ru/catalog/?product=162bf7b6-0910-11ef-9f05-00e01a6800eb%23b5840bc7-0914-11ef-9f05-00e01a6800eb" TargetMode="External"/><Relationship Id="rId_hyperlink_144" Type="http://schemas.openxmlformats.org/officeDocument/2006/relationships/hyperlink" Target="https://www.test.lavrpack.ru/catalog/?product=162bf7b6-0910-11ef-9f05-00e01a6800eb%23d43613e5-0910-11ef-9f05-00e01a6800eb" TargetMode="External"/><Relationship Id="rId_hyperlink_145" Type="http://schemas.openxmlformats.org/officeDocument/2006/relationships/hyperlink" Target="https://www.test.lavrpack.ru/catalog/?product=162bf7b6-0910-11ef-9f05-00e01a6800eb%2393c69190-0911-11ef-9f05-00e01a6800eb" TargetMode="External"/><Relationship Id="rId_hyperlink_146" Type="http://schemas.openxmlformats.org/officeDocument/2006/relationships/hyperlink" Target="https://www.test.lavrpack.ru/catalog/?product=162bf7b6-0910-11ef-9f05-00e01a6800eb%23093b7803-0912-11ef-9f05-00e01a6800eb" TargetMode="External"/><Relationship Id="rId_hyperlink_147" Type="http://schemas.openxmlformats.org/officeDocument/2006/relationships/hyperlink" Target="https://www.test.lavrpack.ru/catalog/?product=162bf7b6-0910-11ef-9f05-00e01a6800eb%234aa29ddc-0916-11ef-9f05-00e01a6800eb" TargetMode="External"/><Relationship Id="rId_hyperlink_148" Type="http://schemas.openxmlformats.org/officeDocument/2006/relationships/hyperlink" Target="https://www.test.lavrpack.ru/catalog/?product=162bf7b6-0910-11ef-9f05-00e01a6800eb%23ee5c2f3e-0911-11ef-9f05-00e01a6800eb" TargetMode="External"/><Relationship Id="rId_hyperlink_149" Type="http://schemas.openxmlformats.org/officeDocument/2006/relationships/hyperlink" Target="https://www.test.lavrpack.ru/catalog/?product=162bf7b6-0910-11ef-9f05-00e01a6800eb%234a27bdb4-0913-11ef-9f05-00e01a6800eb" TargetMode="External"/><Relationship Id="rId_hyperlink_150" Type="http://schemas.openxmlformats.org/officeDocument/2006/relationships/hyperlink" Target="https://www.test.lavrpack.ru/catalog/?product=162bf7b6-0910-11ef-9f05-00e01a6800eb%230eb13dbc-0913-11ef-9f05-00e01a6800eb" TargetMode="External"/><Relationship Id="rId_hyperlink_151" Type="http://schemas.openxmlformats.org/officeDocument/2006/relationships/hyperlink" Target="https://www.test.lavrpack.ru/catalog/?product=162bf7b6-0910-11ef-9f05-00e01a6800eb%23d60a1b4e-0913-11ef-9f05-00e01a6800eb" TargetMode="External"/><Relationship Id="rId_hyperlink_152" Type="http://schemas.openxmlformats.org/officeDocument/2006/relationships/hyperlink" Target="https://www.test.lavrpack.ru/catalog/?product=162bf7b6-0910-11ef-9f05-00e01a6800eb%234d2010cf-0915-11ef-9f05-00e01a6800eb" TargetMode="External"/><Relationship Id="rId_hyperlink_153" Type="http://schemas.openxmlformats.org/officeDocument/2006/relationships/hyperlink" Target="https://www.test.lavrpack.ru/catalog/?product=162bf7b6-0910-11ef-9f05-00e01a6800eb%2324583b21-0916-11ef-9f05-00e01a6800eb" TargetMode="External"/><Relationship Id="rId_hyperlink_154" Type="http://schemas.openxmlformats.org/officeDocument/2006/relationships/hyperlink" Target="https://www.test.lavrpack.ru/catalog/?product=162bf7b6-0910-11ef-9f05-00e01a6800eb%23b7af15e9-0910-11ef-9f05-00e01a6800eb" TargetMode="External"/><Relationship Id="rId_hyperlink_155" Type="http://schemas.openxmlformats.org/officeDocument/2006/relationships/hyperlink" Target="https://www.test.lavrpack.ru/catalog/?product=162bf7b6-0910-11ef-9f05-00e01a6800eb%23cc9fb0da-0910-11ef-9f05-00e01a6800eb" TargetMode="External"/><Relationship Id="rId_hyperlink_156" Type="http://schemas.openxmlformats.org/officeDocument/2006/relationships/hyperlink" Target="https://www.test.lavrpack.ru/catalog/?product=162bf7b6-0910-11ef-9f05-00e01a6800eb%236a34e504-0913-11ef-9f05-00e01a6800eb" TargetMode="External"/><Relationship Id="rId_hyperlink_157" Type="http://schemas.openxmlformats.org/officeDocument/2006/relationships/hyperlink" Target="https://www.test.lavrpack.ru/catalog/?product=162bf7b6-0910-11ef-9f05-00e01a6800eb%236f3868d4-0914-11ef-9f05-00e01a6800eb" TargetMode="External"/><Relationship Id="rId_hyperlink_158" Type="http://schemas.openxmlformats.org/officeDocument/2006/relationships/hyperlink" Target="https://www.test.lavrpack.ru/catalog/?product=162bf7b6-0910-11ef-9f05-00e01a6800eb%2394d76856-0914-11ef-9f05-00e01a6800eb" TargetMode="External"/><Relationship Id="rId_hyperlink_159" Type="http://schemas.openxmlformats.org/officeDocument/2006/relationships/hyperlink" Target="https://www.test.lavrpack.ru/catalog/?product=162bf7b6-0910-11ef-9f05-00e01a6800eb%2358be8cd3-0913-11ef-9f05-00e01a6800eb" TargetMode="External"/><Relationship Id="rId_hyperlink_160" Type="http://schemas.openxmlformats.org/officeDocument/2006/relationships/hyperlink" Target="https://www.test.lavrpack.ru/catalog/?product=162bf7b6-0910-11ef-9f05-00e01a6800eb%2319186397-0912-11ef-9f05-00e01a6800eb" TargetMode="External"/><Relationship Id="rId_hyperlink_161" Type="http://schemas.openxmlformats.org/officeDocument/2006/relationships/hyperlink" Target="https://www.test.lavrpack.ru/catalog/?product=162bf7b6-0910-11ef-9f05-00e01a6800eb%23fe053a70-0912-11ef-9f05-00e01a6800eb" TargetMode="External"/><Relationship Id="rId_hyperlink_162" Type="http://schemas.openxmlformats.org/officeDocument/2006/relationships/hyperlink" Target="https://www.test.lavrpack.ru/catalog/?product=162bf7b6-0910-11ef-9f05-00e01a6800eb%2364ad79de-0910-11ef-9f05-00e01a6800eb" TargetMode="External"/><Relationship Id="rId_hyperlink_163" Type="http://schemas.openxmlformats.org/officeDocument/2006/relationships/hyperlink" Target="https://www.test.lavrpack.ru/catalog/?product=162bf7b6-0910-11ef-9f05-00e01a6800eb%23865bb0d0-0911-11ef-9f05-00e01a6800eb" TargetMode="External"/><Relationship Id="rId_hyperlink_164" Type="http://schemas.openxmlformats.org/officeDocument/2006/relationships/hyperlink" Target="https://www.test.lavrpack.ru/catalog/?product=162bf7b6-0910-11ef-9f05-00e01a6800eb%23560cbbbd-0914-11ef-9f05-00e01a6800eb" TargetMode="External"/><Relationship Id="rId_hyperlink_165" Type="http://schemas.openxmlformats.org/officeDocument/2006/relationships/hyperlink" Target="https://www.test.lavrpack.ru/catalog/?product=162bf7b6-0910-11ef-9f05-00e01a6800eb%231acdf748-0916-11ef-9f05-00e01a6800eb" TargetMode="External"/><Relationship Id="rId_hyperlink_166" Type="http://schemas.openxmlformats.org/officeDocument/2006/relationships/hyperlink" Target="https://www.test.lavrpack.ru/catalog/?product=162bf7b6-0910-11ef-9f05-00e01a6800eb%2356e5c305-0910-11ef-9f05-00e01a6800eb" TargetMode="External"/><Relationship Id="rId_hyperlink_167" Type="http://schemas.openxmlformats.org/officeDocument/2006/relationships/hyperlink" Target="https://www.test.lavrpack.ru/catalog/?product=162bf7b6-0910-11ef-9f05-00e01a6800eb%2373f9315d-0910-11ef-9f05-00e01a6800eb" TargetMode="External"/><Relationship Id="rId_hyperlink_168" Type="http://schemas.openxmlformats.org/officeDocument/2006/relationships/hyperlink" Target="https://www.test.lavrpack.ru/catalog/?product=bc68c5c9-e1c9-11ee-9f05-00e01a6800eb%23c67d9769-e1ca-11ee-9f05-00e01a6800eb" TargetMode="External"/><Relationship Id="rId_hyperlink_169" Type="http://schemas.openxmlformats.org/officeDocument/2006/relationships/hyperlink" Target="https://www.test.lavrpack.ru/catalog/?product=bc68c5c9-e1c9-11ee-9f05-00e01a6800eb%237f03a56b-e1ca-11ee-9f05-00e01a6800eb" TargetMode="External"/><Relationship Id="rId_hyperlink_170" Type="http://schemas.openxmlformats.org/officeDocument/2006/relationships/hyperlink" Target="https://www.test.lavrpack.ru/catalog/?product=beca3b40-7c3f-11f0-ab48-22344d083d2c%23c5a5c1a2-7c3f-11f0-ab48-22344d083d2c" TargetMode="External"/><Relationship Id="rId_hyperlink_171" Type="http://schemas.openxmlformats.org/officeDocument/2006/relationships/hyperlink" Target="https://www.test.lavrpack.ru/catalog/?product=98215863-31fc-11ee-9127-00e01a6800eb%23e13415cc-eac5-11ef-ab3d-22344d083d2c" TargetMode="External"/><Relationship Id="rId_hyperlink_172" Type="http://schemas.openxmlformats.org/officeDocument/2006/relationships/hyperlink" Target="https://www.test.lavrpack.ru/catalog/?product=98215863-31fc-11ee-9127-00e01a6800eb%23a5e44cf8-31fc-11ee-9127-00e01a6800eb" TargetMode="External"/><Relationship Id="rId_hyperlink_173" Type="http://schemas.openxmlformats.org/officeDocument/2006/relationships/hyperlink" Target="https://www.test.lavrpack.ru/catalog/?product=98215863-31fc-11ee-9127-00e01a6800eb%23bb106a48-31fc-11ee-9127-00e01a6800eb" TargetMode="External"/><Relationship Id="rId_hyperlink_174" Type="http://schemas.openxmlformats.org/officeDocument/2006/relationships/hyperlink" Target="https://www.test.lavrpack.ru/catalog/?product=98215863-31fc-11ee-9127-00e01a6800eb%23d3ad688c-eac5-11ef-ab3d-22344d083d2c" TargetMode="External"/><Relationship Id="rId_hyperlink_175" Type="http://schemas.openxmlformats.org/officeDocument/2006/relationships/hyperlink" Target="https://www.test.lavrpack.ru/catalog/?product=98215863-31fc-11ee-9127-00e01a6800eb%23c5c1d8c3-31fc-11ee-9127-00e01a6800eb" TargetMode="External"/><Relationship Id="rId_hyperlink_176" Type="http://schemas.openxmlformats.org/officeDocument/2006/relationships/hyperlink" Target="https://www.test.lavrpack.ru/catalog/?product=4a2f26fb-31fd-11ee-9127-00e01a6800eb%234a2f2720-31fd-11ee-9127-00e01a6800eb" TargetMode="External"/><Relationship Id="rId_hyperlink_177" Type="http://schemas.openxmlformats.org/officeDocument/2006/relationships/hyperlink" Target="https://www.test.lavrpack.ru/catalog/?product=4a2f26fb-31fd-11ee-9127-00e01a6800eb%236605fec9-31fd-11ee-9127-00e01a6800eb" TargetMode="External"/><Relationship Id="rId_hyperlink_178" Type="http://schemas.openxmlformats.org/officeDocument/2006/relationships/hyperlink" Target="https://www.test.lavrpack.ru/catalog/?product=4a2f26fb-31fd-11ee-9127-00e01a6800eb%234a2f2722-31fd-11ee-9127-00e01a6800eb" TargetMode="External"/><Relationship Id="rId_hyperlink_179" Type="http://schemas.openxmlformats.org/officeDocument/2006/relationships/hyperlink" Target="https://www.test.lavrpack.ru/catalog/?product=4a2f26fb-31fd-11ee-9127-00e01a6800eb%234a2f2721-31fd-11ee-9127-00e01a6800eb" TargetMode="External"/><Relationship Id="rId_hyperlink_180" Type="http://schemas.openxmlformats.org/officeDocument/2006/relationships/hyperlink" Target="https://www.test.lavrpack.ru/catalog/?product=26be10f3-7cea-11f0-ab48-22344d083d2c%232f67e0ab-7cea-11f0-ab48-22344d083d2c" TargetMode="External"/><Relationship Id="rId_hyperlink_181" Type="http://schemas.openxmlformats.org/officeDocument/2006/relationships/hyperlink" Target="https://www.test.lavrpack.ru/catalog/?product=9a1dedfc-d611-11ee-a0ad-00e01a6800eb%23b9f6b707-d611-11ee-a0ad-00e01a6800eb" TargetMode="External"/><Relationship Id="rId_hyperlink_182" Type="http://schemas.openxmlformats.org/officeDocument/2006/relationships/hyperlink" Target="https://www.test.lavrpack.ru/catalog/?product=9a1dedfc-d611-11ee-a0ad-00e01a6800eb%23b1320564-d611-11ee-a0ad-00e01a6800eb" TargetMode="External"/><Relationship Id="rId_hyperlink_183" Type="http://schemas.openxmlformats.org/officeDocument/2006/relationships/hyperlink" Target="https://www.test.lavrpack.ru/catalog/?product=c7c59074-cfbb-11ee-a0ad-00e01a6800eb%23dc37659c-cfbf-11ee-a0ad-00e01a6800eb" TargetMode="External"/><Relationship Id="rId_hyperlink_184" Type="http://schemas.openxmlformats.org/officeDocument/2006/relationships/hyperlink" Target="https://www.test.lavrpack.ru/catalog/?product=c7c59074-cfbb-11ee-a0ad-00e01a6800eb%231fc05e34-cfc0-11ee-a0ad-00e01a6800eb" TargetMode="External"/><Relationship Id="rId_hyperlink_185" Type="http://schemas.openxmlformats.org/officeDocument/2006/relationships/hyperlink" Target="https://www.test.lavrpack.ru/catalog/?product=c7c59074-cfbb-11ee-a0ad-00e01a6800eb%2358f60f61-edce-11ee-9f05-00e01a6800eb" TargetMode="External"/><Relationship Id="rId_hyperlink_186" Type="http://schemas.openxmlformats.org/officeDocument/2006/relationships/hyperlink" Target="https://www.test.lavrpack.ru/catalog/?product=c7c59074-cfbb-11ee-a0ad-00e01a6800eb%23f9b853f2-cfbf-11ee-a0ad-00e01a6800eb" TargetMode="External"/><Relationship Id="rId_hyperlink_187" Type="http://schemas.openxmlformats.org/officeDocument/2006/relationships/hyperlink" Target="https://www.test.lavrpack.ru/catalog/?product=c7c59074-cfbb-11ee-a0ad-00e01a6800eb%232fbe9d0b-cfc0-11ee-a0ad-00e01a6800eb" TargetMode="External"/><Relationship Id="rId_hyperlink_188" Type="http://schemas.openxmlformats.org/officeDocument/2006/relationships/hyperlink" Target="https://www.test.lavrpack.ru/catalog/?product=c7c59074-cfbb-11ee-a0ad-00e01a6800eb%23ddfc2a74-4d25-11f1-ab50-22344d083d2c" TargetMode="External"/><Relationship Id="rId_hyperlink_189" Type="http://schemas.openxmlformats.org/officeDocument/2006/relationships/hyperlink" Target="https://www.test.lavrpack.ru/catalog/?product=c7c59074-cfbb-11ee-a0ad-00e01a6800eb%235e1b1704-8508-11f1-ab51-22344d083d2c" TargetMode="External"/><Relationship Id="rId_hyperlink_190" Type="http://schemas.openxmlformats.org/officeDocument/2006/relationships/hyperlink" Target="https://www.test.lavrpack.ru/catalog/?product=c7c59074-cfbb-11ee-a0ad-00e01a6800eb%235c2655ee-cfbf-11ee-a0ad-00e01a6800eb" TargetMode="External"/><Relationship Id="rId_hyperlink_191" Type="http://schemas.openxmlformats.org/officeDocument/2006/relationships/hyperlink" Target="https://www.test.lavrpack.ru/catalog/?product=c7c59074-cfbb-11ee-a0ad-00e01a6800eb%23d0cc5413-4d25-11f1-ab50-22344d083d2c" TargetMode="External"/><Relationship Id="rId_hyperlink_192" Type="http://schemas.openxmlformats.org/officeDocument/2006/relationships/hyperlink" Target="https://www.test.lavrpack.ru/catalog/?product=6827aef6-d610-11ee-a0ad-00e01a6800eb%23a070182c-d610-11ee-a0ad-00e01a6800eb" TargetMode="External"/><Relationship Id="rId_hyperlink_193" Type="http://schemas.openxmlformats.org/officeDocument/2006/relationships/hyperlink" Target="https://www.test.lavrpack.ru/catalog/?product=6827aef6-d610-11ee-a0ad-00e01a6800eb%2377084907-d610-11ee-a0ad-00e01a6800eb" TargetMode="External"/><Relationship Id="rId_hyperlink_194" Type="http://schemas.openxmlformats.org/officeDocument/2006/relationships/hyperlink" Target="https://www.test.lavrpack.ru/catalog/?product=6827aef6-d610-11ee-a0ad-00e01a6800eb%23a69a48a5-d610-11ee-a0ad-00e01a6800eb" TargetMode="External"/><Relationship Id="rId_hyperlink_195" Type="http://schemas.openxmlformats.org/officeDocument/2006/relationships/hyperlink" Target="https://www.test.lavrpack.ru/catalog/?product=6827aef6-d610-11ee-a0ad-00e01a6800eb%23c067d31b-d610-11ee-a0ad-00e01a6800eb" TargetMode="External"/><Relationship Id="rId_hyperlink_196" Type="http://schemas.openxmlformats.org/officeDocument/2006/relationships/hyperlink" Target="https://www.test.lavrpack.ru/catalog/?product=6827aef6-d610-11ee-a0ad-00e01a6800eb%23c6d4aa3d-d610-11ee-a0ad-00e01a6800eb" TargetMode="External"/><Relationship Id="rId_hyperlink_197" Type="http://schemas.openxmlformats.org/officeDocument/2006/relationships/hyperlink" Target="https://www.test.lavrpack.ru/catalog/?product=6827aef6-d610-11ee-a0ad-00e01a6800eb%23b98d7c83-d610-11ee-a0ad-00e01a6800eb" TargetMode="External"/><Relationship Id="rId_hyperlink_198" Type="http://schemas.openxmlformats.org/officeDocument/2006/relationships/hyperlink" Target="https://www.test.lavrpack.ru/catalog/?product=6827aef6-d610-11ee-a0ad-00e01a6800eb%23acd9e55e-d610-11ee-a0ad-00e01a6800eb" TargetMode="External"/><Relationship Id="rId_hyperlink_199" Type="http://schemas.openxmlformats.org/officeDocument/2006/relationships/hyperlink" Target="https://www.test.lavrpack.ru/catalog/?product=6827aef6-d610-11ee-a0ad-00e01a6800eb%238cf796af-d610-11ee-a0ad-00e01a6800eb" TargetMode="External"/><Relationship Id="rId_hyperlink_200" Type="http://schemas.openxmlformats.org/officeDocument/2006/relationships/hyperlink" Target="https://www.test.lavrpack.ru/catalog/?product=6827aef6-d610-11ee-a0ad-00e01a6800eb%23ce3b7184-d610-11ee-a0ad-00e01a6800eb" TargetMode="External"/><Relationship Id="rId_hyperlink_201" Type="http://schemas.openxmlformats.org/officeDocument/2006/relationships/hyperlink" Target="https://www.test.lavrpack.ru/catalog/?product=ea285eab-3d3e-11f0-ab41-22344d083d2c%2343d63210-3d3f-11f0-ab41-22344d083d2c" TargetMode="External"/><Relationship Id="rId_hyperlink_202" Type="http://schemas.openxmlformats.org/officeDocument/2006/relationships/hyperlink" Target="https://www.test.lavrpack.ru/catalog/?product=ea285eab-3d3e-11f0-ab41-22344d083d2c%2349cd7f6d-3d3f-11f0-ab41-22344d083d2c" TargetMode="External"/><Relationship Id="rId_hyperlink_203" Type="http://schemas.openxmlformats.org/officeDocument/2006/relationships/hyperlink" Target="https://www.test.lavrpack.ru/catalog/?product=ea285eab-3d3e-11f0-ab41-22344d083d2c%23560b8199-3d3f-11f0-ab41-22344d083d2c" TargetMode="External"/><Relationship Id="rId_hyperlink_204" Type="http://schemas.openxmlformats.org/officeDocument/2006/relationships/hyperlink" Target="https://www.test.lavrpack.ru/catalog/?product=ea285eab-3d3e-11f0-ab41-22344d083d2c%2302573465-3d3f-11f0-ab41-22344d083d2c" TargetMode="External"/><Relationship Id="rId_hyperlink_205" Type="http://schemas.openxmlformats.org/officeDocument/2006/relationships/hyperlink" Target="https://www.test.lavrpack.ru/catalog/?product=ea285eab-3d3e-11f0-ab41-22344d083d2c%234fe5c88b-3d3f-11f0-ab41-22344d083d2c" TargetMode="External"/><Relationship Id="rId_hyperlink_206" Type="http://schemas.openxmlformats.org/officeDocument/2006/relationships/hyperlink" Target="https://www.test.lavrpack.ru/catalog/?product=ea285eab-3d3e-11f0-ab41-22344d083d2c%235c7ee430-3d3f-11f0-ab41-22344d083d2c" TargetMode="External"/><Relationship Id="rId_hyperlink_207" Type="http://schemas.openxmlformats.org/officeDocument/2006/relationships/hyperlink" Target="https://www.test.lavrpack.ru/catalog/?product=ea285eab-3d3e-11f0-ab41-22344d083d2c%2368fe796b-3d3f-11f0-ab41-22344d083d2c" TargetMode="External"/><Relationship Id="rId_hyperlink_208" Type="http://schemas.openxmlformats.org/officeDocument/2006/relationships/hyperlink" Target="https://www.test.lavrpack.ru/catalog/?product=920142af-d60f-11ee-a0ad-00e01a6800eb%23b8d815f6-d60f-11ee-a0ad-00e01a6800eb" TargetMode="External"/><Relationship Id="rId_hyperlink_209" Type="http://schemas.openxmlformats.org/officeDocument/2006/relationships/hyperlink" Target="https://www.test.lavrpack.ru/catalog/?product=920142af-d60f-11ee-a0ad-00e01a6800eb%23ea488b29-d60f-11ee-a0ad-00e01a6800eb" TargetMode="External"/><Relationship Id="rId_hyperlink_210" Type="http://schemas.openxmlformats.org/officeDocument/2006/relationships/hyperlink" Target="https://www.test.lavrpack.ru/catalog/?product=920142af-d60f-11ee-a0ad-00e01a6800eb%239eedfb7e-d60f-11ee-a0ad-00e01a6800eb" TargetMode="External"/><Relationship Id="rId_hyperlink_211" Type="http://schemas.openxmlformats.org/officeDocument/2006/relationships/hyperlink" Target="https://www.test.lavrpack.ru/catalog/?product=920142af-d60f-11ee-a0ad-00e01a6800eb%23e3f5e36e-d60f-11ee-a0ad-00e01a6800eb" TargetMode="External"/><Relationship Id="rId_hyperlink_212" Type="http://schemas.openxmlformats.org/officeDocument/2006/relationships/hyperlink" Target="https://www.test.lavrpack.ru/catalog/?product=920142af-d60f-11ee-a0ad-00e01a6800eb%23d5343b67-d60f-11ee-a0ad-00e01a6800eb" TargetMode="External"/><Relationship Id="rId_hyperlink_213" Type="http://schemas.openxmlformats.org/officeDocument/2006/relationships/hyperlink" Target="https://www.test.lavrpack.ru/catalog/?product=920142af-d60f-11ee-a0ad-00e01a6800eb%23dcb2d137-d60f-11ee-a0ad-00e01a6800eb" TargetMode="External"/><Relationship Id="rId_hyperlink_214" Type="http://schemas.openxmlformats.org/officeDocument/2006/relationships/hyperlink" Target="https://www.test.lavrpack.ru/catalog/?product=920142af-d60f-11ee-a0ad-00e01a6800eb%23bf6b036a-d60f-11ee-a0ad-00e01a6800eb" TargetMode="External"/><Relationship Id="rId_hyperlink_215" Type="http://schemas.openxmlformats.org/officeDocument/2006/relationships/hyperlink" Target="https://www.test.lavrpack.ru/catalog/?product=920142af-d60f-11ee-a0ad-00e01a6800eb%23cd886bdd-d60f-11ee-a0ad-00e01a6800eb" TargetMode="External"/><Relationship Id="rId_hyperlink_216" Type="http://schemas.openxmlformats.org/officeDocument/2006/relationships/hyperlink" Target="https://www.test.lavrpack.ru/catalog/?product=3fdc87f1-d60e-11ee-a0ad-00e01a6800eb%23946485cc-d60e-11ee-a0ad-00e01a6800eb" TargetMode="External"/><Relationship Id="rId_hyperlink_217" Type="http://schemas.openxmlformats.org/officeDocument/2006/relationships/hyperlink" Target="https://www.test.lavrpack.ru/catalog/?product=3fdc87f1-d60e-11ee-a0ad-00e01a6800eb%235dfcf290-d60e-11ee-a0ad-00e01a6800eb" TargetMode="External"/><Relationship Id="rId_hyperlink_218" Type="http://schemas.openxmlformats.org/officeDocument/2006/relationships/hyperlink" Target="https://www.test.lavrpack.ru/catalog/?product=3fdc87f1-d60e-11ee-a0ad-00e01a6800eb%23a14a1a68-d60e-11ee-a0ad-00e01a6800eb" TargetMode="External"/><Relationship Id="rId_hyperlink_219" Type="http://schemas.openxmlformats.org/officeDocument/2006/relationships/hyperlink" Target="https://www.test.lavrpack.ru/catalog/?product=3fdc87f1-d60e-11ee-a0ad-00e01a6800eb%2382e246cd-d60e-11ee-a0ad-00e01a6800eb" TargetMode="External"/><Relationship Id="rId_hyperlink_220" Type="http://schemas.openxmlformats.org/officeDocument/2006/relationships/hyperlink" Target="https://www.test.lavrpack.ru/catalog/?product=a811cf28-d60a-11ee-a0ad-00e01a6800eb%23c4751836-d60a-11ee-a0ad-00e01a6800eb" TargetMode="External"/><Relationship Id="rId_hyperlink_221" Type="http://schemas.openxmlformats.org/officeDocument/2006/relationships/hyperlink" Target="https://www.test.lavrpack.ru/catalog/?product=a811cf28-d60a-11ee-a0ad-00e01a6800eb%23e98a07fb-d60a-11ee-a0ad-00e01a6800eb" TargetMode="External"/><Relationship Id="rId_hyperlink_222" Type="http://schemas.openxmlformats.org/officeDocument/2006/relationships/hyperlink" Target="https://www.test.lavrpack.ru/catalog/?product=a811cf28-d60a-11ee-a0ad-00e01a6800eb%23cb41261f-d60a-11ee-a0ad-00e01a6800eb" TargetMode="External"/><Relationship Id="rId_hyperlink_223" Type="http://schemas.openxmlformats.org/officeDocument/2006/relationships/hyperlink" Target="https://www.test.lavrpack.ru/catalog/?product=a811cf28-d60a-11ee-a0ad-00e01a6800eb%23db4427da-d60a-11ee-a0ad-00e01a6800eb" TargetMode="External"/><Relationship Id="rId_hyperlink_224" Type="http://schemas.openxmlformats.org/officeDocument/2006/relationships/hyperlink" Target="https://www.test.lavrpack.ru/catalog/?product=98e229fa-d609-11ee-a0ad-00e01a6800eb%2315a86b77-d60a-11ee-a0ad-00e01a6800eb" TargetMode="External"/><Relationship Id="rId_hyperlink_225" Type="http://schemas.openxmlformats.org/officeDocument/2006/relationships/hyperlink" Target="https://www.test.lavrpack.ru/catalog/?product=98e229fa-d609-11ee-a0ad-00e01a6800eb%23cef1aa83-d609-11ee-a0ad-00e01a6800eb" TargetMode="External"/><Relationship Id="rId_hyperlink_226" Type="http://schemas.openxmlformats.org/officeDocument/2006/relationships/hyperlink" Target="https://www.test.lavrpack.ru/catalog/?product=98e229fa-d609-11ee-a0ad-00e01a6800eb%23e9930fdd-d609-11ee-a0ad-00e01a6800eb" TargetMode="External"/><Relationship Id="rId_hyperlink_227" Type="http://schemas.openxmlformats.org/officeDocument/2006/relationships/hyperlink" Target="https://www.test.lavrpack.ru/catalog/?product=98e229fa-d609-11ee-a0ad-00e01a6800eb%23bbb96e1d-d609-11ee-a0ad-00e01a6800eb" TargetMode="External"/><Relationship Id="rId_hyperlink_228" Type="http://schemas.openxmlformats.org/officeDocument/2006/relationships/hyperlink" Target="https://www.test.lavrpack.ru/catalog/?product=98e229fa-d609-11ee-a0ad-00e01a6800eb%2320a8677d-d60a-11ee-a0ad-00e01a6800eb" TargetMode="External"/><Relationship Id="rId_hyperlink_229" Type="http://schemas.openxmlformats.org/officeDocument/2006/relationships/hyperlink" Target="https://www.test.lavrpack.ru/catalog/?product=98e229fa-d609-11ee-a0ad-00e01a6800eb%23dc3414bb-d609-11ee-a0ad-00e01a6800eb" TargetMode="External"/><Relationship Id="rId_hyperlink_230" Type="http://schemas.openxmlformats.org/officeDocument/2006/relationships/hyperlink" Target="https://www.test.lavrpack.ru/catalog/?product=0f904a34-d608-11ee-a0ad-00e01a6800eb%23784a753a-d608-11ee-a0ad-00e01a6800eb" TargetMode="External"/><Relationship Id="rId_hyperlink_231" Type="http://schemas.openxmlformats.org/officeDocument/2006/relationships/hyperlink" Target="https://www.test.lavrpack.ru/catalog/?product=0f904a34-d608-11ee-a0ad-00e01a6800eb%2326452a91-d608-11ee-a0ad-00e01a6800eb" TargetMode="External"/><Relationship Id="rId_hyperlink_232" Type="http://schemas.openxmlformats.org/officeDocument/2006/relationships/hyperlink" Target="https://www.test.lavrpack.ru/catalog/?product=0f904a34-d608-11ee-a0ad-00e01a6800eb%233e8c538c-d608-11ee-a0ad-00e01a6800eb" TargetMode="External"/><Relationship Id="rId_hyperlink_233" Type="http://schemas.openxmlformats.org/officeDocument/2006/relationships/hyperlink" Target="https://www.test.lavrpack.ru/catalog/?product=0f904a34-d608-11ee-a0ad-00e01a6800eb%235b4c724d-d608-11ee-a0ad-00e01a6800eb" TargetMode="External"/><Relationship Id="rId_hyperlink_234" Type="http://schemas.openxmlformats.org/officeDocument/2006/relationships/hyperlink" Target="https://www.test.lavrpack.ru/catalog/?product=0f904a34-d608-11ee-a0ad-00e01a6800eb%2370a36861-d608-11ee-a0ad-00e01a6800eb" TargetMode="External"/><Relationship Id="rId_hyperlink_235" Type="http://schemas.openxmlformats.org/officeDocument/2006/relationships/hyperlink" Target="https://www.test.lavrpack.ru/catalog/?product=158ce692-cfb5-11ee-a0ad-00e01a6800eb%2364c35160-cfb5-11ee-a0ad-00e01a6800eb" TargetMode="External"/><Relationship Id="rId_hyperlink_236" Type="http://schemas.openxmlformats.org/officeDocument/2006/relationships/hyperlink" Target="https://www.test.lavrpack.ru/catalog/?product=491ae707-ad88-11ef-ab3b-22344d083d2c%2356e57414-ad88-11ef-ab3b-22344d083d2c" TargetMode="External"/><Relationship Id="rId_hyperlink_237" Type="http://schemas.openxmlformats.org/officeDocument/2006/relationships/hyperlink" Target="https://www.test.lavrpack.ru/catalog/?product=491ae707-ad88-11ef-ab3b-22344d083d2c%235df0b87b-ad88-11ef-ab3b-22344d083d2c" TargetMode="External"/><Relationship Id="rId_hyperlink_238" Type="http://schemas.openxmlformats.org/officeDocument/2006/relationships/hyperlink" Target="https://www.test.lavrpack.ru/catalog/?product=491ae707-ad88-11ef-ab3b-22344d083d2c%2365294b30-ad88-11ef-ab3b-22344d083d2c" TargetMode="External"/><Relationship Id="rId_hyperlink_239" Type="http://schemas.openxmlformats.org/officeDocument/2006/relationships/hyperlink" Target="https://www.test.lavrpack.ru/catalog/?product=491ae707-ad88-11ef-ab3b-22344d083d2c%2365294b40-ad88-11ef-ab3b-22344d083d2c" TargetMode="External"/><Relationship Id="rId_hyperlink_240" Type="http://schemas.openxmlformats.org/officeDocument/2006/relationships/hyperlink" Target="https://www.test.lavrpack.ru/catalog/?product=491ae707-ad88-11ef-ab3b-22344d083d2c%2372dd47e3-ad88-11ef-ab3b-22344d083d2c" TargetMode="External"/><Relationship Id="rId_hyperlink_241" Type="http://schemas.openxmlformats.org/officeDocument/2006/relationships/hyperlink" Target="https://www.test.lavrpack.ru/catalog/?product=b7027ffb-d604-11ee-a0ad-00e01a6800eb%23f8890126-d604-11ee-a0ad-00e01a6800eb" TargetMode="External"/><Relationship Id="rId_hyperlink_242" Type="http://schemas.openxmlformats.org/officeDocument/2006/relationships/hyperlink" Target="https://www.test.lavrpack.ru/catalog/?product=b7027ffb-d604-11ee-a0ad-00e01a6800eb%236f3a821d-d605-11ee-a0ad-00e01a6800eb" TargetMode="External"/><Relationship Id="rId_hyperlink_243" Type="http://schemas.openxmlformats.org/officeDocument/2006/relationships/hyperlink" Target="https://www.test.lavrpack.ru/catalog/?product=b7027ffb-d604-11ee-a0ad-00e01a6800eb%23e8d0483f-d605-11ee-a0ad-00e01a6800eb" TargetMode="External"/><Relationship Id="rId_hyperlink_244" Type="http://schemas.openxmlformats.org/officeDocument/2006/relationships/hyperlink" Target="https://www.test.lavrpack.ru/catalog/?product=b7027ffb-d604-11ee-a0ad-00e01a6800eb%23f71aeb44-d605-11ee-a0ad-00e01a6800eb" TargetMode="External"/><Relationship Id="rId_hyperlink_245" Type="http://schemas.openxmlformats.org/officeDocument/2006/relationships/hyperlink" Target="https://www.test.lavrpack.ru/catalog/?product=b7027ffb-d604-11ee-a0ad-00e01a6800eb%23d25bad09-d605-11ee-a0ad-00e01a6800eb" TargetMode="External"/><Relationship Id="rId_hyperlink_246" Type="http://schemas.openxmlformats.org/officeDocument/2006/relationships/hyperlink" Target="https://www.test.lavrpack.ru/catalog/?product=b7027ffb-d604-11ee-a0ad-00e01a6800eb%2390d9ee8f-d605-11ee-a0ad-00e01a6800eb" TargetMode="External"/><Relationship Id="rId_hyperlink_247" Type="http://schemas.openxmlformats.org/officeDocument/2006/relationships/hyperlink" Target="https://www.test.lavrpack.ru/catalog/?product=b7027ffb-d604-11ee-a0ad-00e01a6800eb%23a35fa3cc-d605-11ee-a0ad-00e01a6800eb" TargetMode="External"/><Relationship Id="rId_hyperlink_248" Type="http://schemas.openxmlformats.org/officeDocument/2006/relationships/hyperlink" Target="https://www.test.lavrpack.ru/catalog/?product=b7027ffb-d604-11ee-a0ad-00e01a6800eb%23c138a4f0-d605-11ee-a0ad-00e01a6800eb" TargetMode="External"/><Relationship Id="rId_hyperlink_249" Type="http://schemas.openxmlformats.org/officeDocument/2006/relationships/hyperlink" Target="https://www.test.lavrpack.ru/catalog/?product=b7027ffb-d604-11ee-a0ad-00e01a6800eb%235d8d66d7-d605-11ee-a0ad-00e01a6800eb" TargetMode="External"/><Relationship Id="rId_hyperlink_250" Type="http://schemas.openxmlformats.org/officeDocument/2006/relationships/hyperlink" Target="https://www.test.lavrpack.ru/catalog/?product=6ab70781-d603-11ee-a0ad-00e01a6800eb%239042fbee-d603-11ee-a0ad-00e01a6800eb" TargetMode="External"/><Relationship Id="rId_hyperlink_251" Type="http://schemas.openxmlformats.org/officeDocument/2006/relationships/hyperlink" Target="https://www.test.lavrpack.ru/catalog/?product=8bcb6b7b-d601-11ee-a0ad-00e01a6800eb%23aa144d57-d601-11ee-a0ad-00e01a6800eb" TargetMode="External"/><Relationship Id="rId_hyperlink_252" Type="http://schemas.openxmlformats.org/officeDocument/2006/relationships/hyperlink" Target="https://www.test.lavrpack.ru/catalog/?product=8bcb6b7b-d601-11ee-a0ad-00e01a6800eb%239b4b8164-d601-11ee-a0ad-00e01a6800eb" TargetMode="External"/><Relationship Id="rId_hyperlink_253" Type="http://schemas.openxmlformats.org/officeDocument/2006/relationships/hyperlink" Target="https://www.test.lavrpack.ru/catalog/?product=8bcb6b7b-d601-11ee-a0ad-00e01a6800eb%2393c5c84a-d601-11ee-a0ad-00e01a6800eb" TargetMode="External"/><Relationship Id="rId_hyperlink_254" Type="http://schemas.openxmlformats.org/officeDocument/2006/relationships/hyperlink" Target="https://www.test.lavrpack.ru/catalog/?product=03bae57a-d600-11ee-a0ad-00e01a6800eb%233692ca2b-d600-11ee-a0ad-00e01a6800eb" TargetMode="External"/><Relationship Id="rId_hyperlink_255" Type="http://schemas.openxmlformats.org/officeDocument/2006/relationships/hyperlink" Target="https://www.test.lavrpack.ru/catalog/?product=03bae57a-d600-11ee-a0ad-00e01a6800eb%2345cb7674-d600-11ee-a0ad-00e01a6800eb" TargetMode="External"/><Relationship Id="rId_hyperlink_256" Type="http://schemas.openxmlformats.org/officeDocument/2006/relationships/hyperlink" Target="https://www.test.lavrpack.ru/catalog/?product=60887019-d5fe-11ee-a0ad-00e01a6800eb%23d1311091-d5fe-11ee-a0ad-00e01a6800eb" TargetMode="External"/><Relationship Id="rId_hyperlink_257" Type="http://schemas.openxmlformats.org/officeDocument/2006/relationships/hyperlink" Target="https://www.test.lavrpack.ru/catalog/?product=60887019-d5fe-11ee-a0ad-00e01a6800eb%2323d83884-d5ff-11ee-a0ad-00e01a6800eb" TargetMode="External"/><Relationship Id="rId_hyperlink_258" Type="http://schemas.openxmlformats.org/officeDocument/2006/relationships/hyperlink" Target="https://www.test.lavrpack.ru/catalog/?product=60887019-d5fe-11ee-a0ad-00e01a6800eb%232db36b26-d5ff-11ee-a0ad-00e01a6800eb" TargetMode="External"/><Relationship Id="rId_hyperlink_259" Type="http://schemas.openxmlformats.org/officeDocument/2006/relationships/hyperlink" Target="https://www.test.lavrpack.ru/catalog/?product=60887019-d5fe-11ee-a0ad-00e01a6800eb%23b3c0cbed-d5fe-11ee-a0ad-00e01a6800eb" TargetMode="External"/><Relationship Id="rId_hyperlink_260" Type="http://schemas.openxmlformats.org/officeDocument/2006/relationships/hyperlink" Target="https://www.test.lavrpack.ru/catalog/?product=60887019-d5fe-11ee-a0ad-00e01a6800eb%23995163c2-d5fe-11ee-a0ad-00e01a6800eb" TargetMode="External"/><Relationship Id="rId_hyperlink_261" Type="http://schemas.openxmlformats.org/officeDocument/2006/relationships/hyperlink" Target="https://www.test.lavrpack.ru/catalog/?product=60887019-d5fe-11ee-a0ad-00e01a6800eb%23c55f9b94-d5fe-11ee-a0ad-00e01a6800eb" TargetMode="External"/><Relationship Id="rId_hyperlink_262" Type="http://schemas.openxmlformats.org/officeDocument/2006/relationships/hyperlink" Target="https://www.test.lavrpack.ru/catalog/?product=60887019-d5fe-11ee-a0ad-00e01a6800eb%23a4111a7f-d5fe-11ee-a0ad-00e01a6800eb" TargetMode="External"/><Relationship Id="rId_hyperlink_263" Type="http://schemas.openxmlformats.org/officeDocument/2006/relationships/hyperlink" Target="https://www.test.lavrpack.ru/catalog/?product=9dc0562d-d5fd-11ee-a0ad-00e01a6800eb%23cd1210ff-d5fd-11ee-a0ad-00e01a6800eb" TargetMode="External"/><Relationship Id="rId_hyperlink_264" Type="http://schemas.openxmlformats.org/officeDocument/2006/relationships/hyperlink" Target="https://www.test.lavrpack.ru/catalog/?product=9dc0562d-d5fd-11ee-a0ad-00e01a6800eb%23d3bccbb3-d5fd-11ee-a0ad-00e01a6800eb" TargetMode="External"/><Relationship Id="rId_hyperlink_265" Type="http://schemas.openxmlformats.org/officeDocument/2006/relationships/hyperlink" Target="https://www.test.lavrpack.ru/catalog/?product=9dc0562d-d5fd-11ee-a0ad-00e01a6800eb%23af4e7c32-d5fd-11ee-a0ad-00e01a6800eb" TargetMode="External"/><Relationship Id="rId_hyperlink_266" Type="http://schemas.openxmlformats.org/officeDocument/2006/relationships/hyperlink" Target="https://www.test.lavrpack.ru/catalog/?product=9dc0562d-d5fd-11ee-a0ad-00e01a6800eb%23c0822ded-d5fd-11ee-a0ad-00e01a6800eb" TargetMode="External"/><Relationship Id="rId_hyperlink_267" Type="http://schemas.openxmlformats.org/officeDocument/2006/relationships/hyperlink" Target="https://www.test.lavrpack.ru/catalog/?product=9dc0562d-d5fd-11ee-a0ad-00e01a6800eb%23af4e7c42-d5fd-11ee-a0ad-00e01a6800eb" TargetMode="External"/><Relationship Id="rId_hyperlink_268" Type="http://schemas.openxmlformats.org/officeDocument/2006/relationships/hyperlink" Target="https://www.test.lavrpack.ru/catalog/?product=9dc0562d-d5fd-11ee-a0ad-00e01a6800eb%2334d757c3-b61a-11ef-ab3b-22344d083d2c" TargetMode="External"/><Relationship Id="rId_hyperlink_269" Type="http://schemas.openxmlformats.org/officeDocument/2006/relationships/hyperlink" Target="https://www.test.lavrpack.ru/catalog/?product=b3ae2e38-cf08-11ee-a0ad-00e01a6800eb%23eb44105f-cf08-11ee-a0ad-00e01a6800eb" TargetMode="External"/><Relationship Id="rId_hyperlink_270" Type="http://schemas.openxmlformats.org/officeDocument/2006/relationships/hyperlink" Target="https://www.test.lavrpack.ru/catalog/?product=bc632e5c-d5fc-11ee-a0ad-00e01a6800eb%23e4afba40-d5fc-11ee-a0ad-00e01a6800eb" TargetMode="External"/><Relationship Id="rId_hyperlink_271" Type="http://schemas.openxmlformats.org/officeDocument/2006/relationships/hyperlink" Target="https://www.test.lavrpack.ru/catalog/?product=bc632e5c-d5fc-11ee-a0ad-00e01a6800eb%23ed63c240-d5fc-11ee-a0ad-00e01a6800eb" TargetMode="External"/><Relationship Id="rId_hyperlink_272" Type="http://schemas.openxmlformats.org/officeDocument/2006/relationships/hyperlink" Target="https://www.test.lavrpack.ru/catalog/?product=bc632e5c-d5fc-11ee-a0ad-00e01a6800eb%23fd4ef615-d5fc-11ee-a0ad-00e01a6800eb" TargetMode="External"/><Relationship Id="rId_hyperlink_273" Type="http://schemas.openxmlformats.org/officeDocument/2006/relationships/hyperlink" Target="https://www.test.lavrpack.ru/catalog/?product=3b49fb66-da1b-11ee-a0ad-00e01a6800eb%2343680cb5-da1b-11ee-a0ad-00e01a6800eb" TargetMode="External"/><Relationship Id="rId_hyperlink_274" Type="http://schemas.openxmlformats.org/officeDocument/2006/relationships/hyperlink" Target="https://www.test.lavrpack.ru/catalog/?product=3b49fb66-da1b-11ee-a0ad-00e01a6800eb%23497a6f48-da1b-11ee-a0ad-00e01a6800eb" TargetMode="External"/><Relationship Id="rId_hyperlink_275" Type="http://schemas.openxmlformats.org/officeDocument/2006/relationships/hyperlink" Target="https://www.test.lavrpack.ru/catalog/?product=c2e9b6d1-d5fb-11ee-a0ad-00e01a6800eb%2301b4630f-d5fc-11ee-a0ad-00e01a6800eb" TargetMode="External"/><Relationship Id="rId_hyperlink_276" Type="http://schemas.openxmlformats.org/officeDocument/2006/relationships/hyperlink" Target="https://www.test.lavrpack.ru/catalog/?product=c2e9b6d1-d5fb-11ee-a0ad-00e01a6800eb%2301b462ff-d5fc-11ee-a0ad-00e01a6800eb" TargetMode="External"/><Relationship Id="rId_hyperlink_277" Type="http://schemas.openxmlformats.org/officeDocument/2006/relationships/hyperlink" Target="https://www.test.lavrpack.ru/catalog/?product=c2e9b6d1-d5fb-11ee-a0ad-00e01a6800eb%23dfa04fc2-d5fb-11ee-a0ad-00e01a6800eb" TargetMode="External"/><Relationship Id="rId_hyperlink_278" Type="http://schemas.openxmlformats.org/officeDocument/2006/relationships/hyperlink" Target="https://www.test.lavrpack.ru/catalog/?product=c2e9b6d1-d5fb-11ee-a0ad-00e01a6800eb%23d9a35982-d5fb-11ee-a0ad-00e01a6800eb" TargetMode="External"/><Relationship Id="rId_hyperlink_279" Type="http://schemas.openxmlformats.org/officeDocument/2006/relationships/hyperlink" Target="https://www.test.lavrpack.ru/catalog/?product=c2e9b6d1-d5fb-11ee-a0ad-00e01a6800eb%23f0c357cc-d5fb-11ee-a0ad-00e01a6800eb" TargetMode="External"/><Relationship Id="rId_hyperlink_280" Type="http://schemas.openxmlformats.org/officeDocument/2006/relationships/hyperlink" Target="https://www.test.lavrpack.ru/catalog/?product=c2e9b6d1-d5fb-11ee-a0ad-00e01a6800eb%23d0275e0c-d5fb-11ee-a0ad-00e01a6800eb" TargetMode="External"/><Relationship Id="rId_hyperlink_281" Type="http://schemas.openxmlformats.org/officeDocument/2006/relationships/hyperlink" Target="https://www.test.lavrpack.ru/catalog/?product=1021fbdb-6a7f-11ef-ab51-1cfd08767542%2318351275-6a7f-11ef-ab51-1cfd08767542" TargetMode="External"/><Relationship Id="rId_hyperlink_282" Type="http://schemas.openxmlformats.org/officeDocument/2006/relationships/hyperlink" Target="https://www.test.lavrpack.ru/catalog/?product=1021fbdb-6a7f-11ef-ab51-1cfd08767542%2318351285-6a7f-11ef-ab51-1cfd08767542" TargetMode="External"/><Relationship Id="rId_hyperlink_283" Type="http://schemas.openxmlformats.org/officeDocument/2006/relationships/hyperlink" Target="https://www.test.lavrpack.ru/catalog/?product=ef9ab343-d5f8-11ee-a0ad-00e01a6800eb%23196b3f73-d5f9-11ee-a0ad-00e01a6800eb" TargetMode="External"/><Relationship Id="rId_hyperlink_284" Type="http://schemas.openxmlformats.org/officeDocument/2006/relationships/hyperlink" Target="https://www.test.lavrpack.ru/catalog/?product=ef9ab343-d5f8-11ee-a0ad-00e01a6800eb%23fc0e05e3-d5f8-11ee-a0ad-00e01a6800eb" TargetMode="External"/><Relationship Id="rId_hyperlink_285" Type="http://schemas.openxmlformats.org/officeDocument/2006/relationships/hyperlink" Target="https://www.test.lavrpack.ru/catalog/?product=ef9ab343-d5f8-11ee-a0ad-00e01a6800eb%231fc2a9ee-d5f9-11ee-a0ad-00e01a6800eb" TargetMode="External"/><Relationship Id="rId_hyperlink_286" Type="http://schemas.openxmlformats.org/officeDocument/2006/relationships/hyperlink" Target="https://www.test.lavrpack.ru/catalog/?product=ef9ab343-d5f8-11ee-a0ad-00e01a6800eb%2327ffad20-d5f9-11ee-a0ad-00e01a6800eb" TargetMode="External"/><Relationship Id="rId_hyperlink_287" Type="http://schemas.openxmlformats.org/officeDocument/2006/relationships/hyperlink" Target="https://www.test.lavrpack.ru/catalog/?product=ef9ab343-d5f8-11ee-a0ad-00e01a6800eb%230a5b0a6a-d5f9-11ee-a0ad-00e01a6800eb" TargetMode="External"/><Relationship Id="rId_hyperlink_288" Type="http://schemas.openxmlformats.org/officeDocument/2006/relationships/hyperlink" Target="https://www.test.lavrpack.ru/catalog/?product=f6e40646-3d2f-11f0-ab41-22344d083d2c%23094923d6-3d30-11f0-ab41-22344d083d2c" TargetMode="External"/><Relationship Id="rId_hyperlink_289" Type="http://schemas.openxmlformats.org/officeDocument/2006/relationships/hyperlink" Target="https://www.test.lavrpack.ru/catalog/?product=f6e40646-3d2f-11f0-ab41-22344d083d2c%232a758e56-3d30-11f0-ab41-22344d083d2c" TargetMode="External"/><Relationship Id="rId_hyperlink_290" Type="http://schemas.openxmlformats.org/officeDocument/2006/relationships/hyperlink" Target="https://www.test.lavrpack.ru/catalog/?product=f6e40646-3d2f-11f0-ab41-22344d083d2c%230f48eaec-3d30-11f0-ab41-22344d083d2c" TargetMode="External"/><Relationship Id="rId_hyperlink_291" Type="http://schemas.openxmlformats.org/officeDocument/2006/relationships/hyperlink" Target="https://www.test.lavrpack.ru/catalog/?product=854e787c-3d31-11f0-ab41-22344d083d2c%2398a60081-3d31-11f0-ab41-22344d083d2c" TargetMode="External"/><Relationship Id="rId_hyperlink_292" Type="http://schemas.openxmlformats.org/officeDocument/2006/relationships/hyperlink" Target="https://www.test.lavrpack.ru/catalog/?product=854e787c-3d31-11f0-ab41-22344d083d2c%23ae4f6169-3d31-11f0-ab41-22344d083d2c" TargetMode="External"/><Relationship Id="rId_hyperlink_293" Type="http://schemas.openxmlformats.org/officeDocument/2006/relationships/hyperlink" Target="https://www.test.lavrpack.ru/catalog/?product=3c5c249f-69e3-11ee-a8ad-00e01a6800eb" TargetMode="External"/><Relationship Id="rId_hyperlink_294" Type="http://schemas.openxmlformats.org/officeDocument/2006/relationships/hyperlink" Target="https://www.test.lavrpack.ru/catalog/?product=ee204857-7f2c-11ec-b73f-0018e40a3af2" TargetMode="External"/><Relationship Id="rId_hyperlink_295" Type="http://schemas.openxmlformats.org/officeDocument/2006/relationships/hyperlink" Target="https://www.test.lavrpack.ru/catalog/?product=8903567a-d574-11ee-a0ad-00e01a6800eb%23f95182b6-d574-11ee-a0ad-00e01a6800eb" TargetMode="External"/><Relationship Id="rId_hyperlink_296" Type="http://schemas.openxmlformats.org/officeDocument/2006/relationships/hyperlink" Target="https://www.test.lavrpack.ru/catalog/?product=8903567a-d574-11ee-a0ad-00e01a6800eb%23162bd099-d575-11ee-a0ad-00e01a6800eb" TargetMode="External"/><Relationship Id="rId_hyperlink_297" Type="http://schemas.openxmlformats.org/officeDocument/2006/relationships/hyperlink" Target="https://www.test.lavrpack.ru/catalog/?product=8903567a-d574-11ee-a0ad-00e01a6800eb%236970135e-d575-11ee-a0ad-00e01a6800eb" TargetMode="External"/><Relationship Id="rId_hyperlink_298" Type="http://schemas.openxmlformats.org/officeDocument/2006/relationships/hyperlink" Target="https://www.test.lavrpack.ru/catalog/?product=8903567a-d574-11ee-a0ad-00e01a6800eb%237e09973d-d577-11ee-a0ad-00e01a6800eb" TargetMode="External"/><Relationship Id="rId_hyperlink_299" Type="http://schemas.openxmlformats.org/officeDocument/2006/relationships/hyperlink" Target="https://www.test.lavrpack.ru/catalog/?product=8903567a-d574-11ee-a0ad-00e01a6800eb%235665111e-d575-11ee-a0ad-00e01a6800eb" TargetMode="External"/><Relationship Id="rId_hyperlink_300" Type="http://schemas.openxmlformats.org/officeDocument/2006/relationships/hyperlink" Target="https://www.test.lavrpack.ru/catalog/?product=8903567a-d574-11ee-a0ad-00e01a6800eb%236648d38b-d5f7-11ee-a0ad-00e01a6800eb" TargetMode="External"/><Relationship Id="rId_hyperlink_301" Type="http://schemas.openxmlformats.org/officeDocument/2006/relationships/hyperlink" Target="https://www.test.lavrpack.ru/catalog/?product=8903567a-d574-11ee-a0ad-00e01a6800eb%234254378e-d575-11ee-a0ad-00e01a6800eb" TargetMode="External"/><Relationship Id="rId_hyperlink_302" Type="http://schemas.openxmlformats.org/officeDocument/2006/relationships/hyperlink" Target="https://www.test.lavrpack.ru/catalog/?product=8903567a-d574-11ee-a0ad-00e01a6800eb%2344d32447-d577-11ee-a0ad-00e01a6800eb" TargetMode="External"/><Relationship Id="rId_hyperlink_303" Type="http://schemas.openxmlformats.org/officeDocument/2006/relationships/hyperlink" Target="https://www.test.lavrpack.ru/catalog/?product=8903567a-d574-11ee-a0ad-00e01a6800eb%235ea829b8-5885-11ef-ab50-1cfd08767542" TargetMode="External"/><Relationship Id="rId_hyperlink_304" Type="http://schemas.openxmlformats.org/officeDocument/2006/relationships/hyperlink" Target="https://www.test.lavrpack.ru/catalog/?product=8903567a-d574-11ee-a0ad-00e01a6800eb%23f34d6856-d574-11ee-a0ad-00e01a6800eb" TargetMode="External"/><Relationship Id="rId_hyperlink_305" Type="http://schemas.openxmlformats.org/officeDocument/2006/relationships/hyperlink" Target="https://www.test.lavrpack.ru/catalog/?product=8903567a-d574-11ee-a0ad-00e01a6800eb%2377923eef-d575-11ee-a0ad-00e01a6800eb" TargetMode="External"/><Relationship Id="rId_hyperlink_306" Type="http://schemas.openxmlformats.org/officeDocument/2006/relationships/hyperlink" Target="https://www.test.lavrpack.ru/catalog/?product=8903567a-d574-11ee-a0ad-00e01a6800eb%234ed58509-d5f7-11ee-a0ad-00e01a6800eb" TargetMode="External"/><Relationship Id="rId_hyperlink_307" Type="http://schemas.openxmlformats.org/officeDocument/2006/relationships/hyperlink" Target="https://www.test.lavrpack.ru/catalog/?product=8903567a-d574-11ee-a0ad-00e01a6800eb%2391e95b97-d574-11ee-a0ad-00e01a6800eb" TargetMode="External"/><Relationship Id="rId_hyperlink_308" Type="http://schemas.openxmlformats.org/officeDocument/2006/relationships/hyperlink" Target="https://www.test.lavrpack.ru/catalog/?product=8903567a-d574-11ee-a0ad-00e01a6800eb%2355d5f147-d5f7-11ee-a0ad-00e01a6800eb" TargetMode="External"/><Relationship Id="rId_hyperlink_309" Type="http://schemas.openxmlformats.org/officeDocument/2006/relationships/hyperlink" Target="https://www.test.lavrpack.ru/catalog/?product=8903567a-d574-11ee-a0ad-00e01a6800eb%23b7ab282f-d577-11ee-a0ad-00e01a6800eb" TargetMode="External"/><Relationship Id="rId_hyperlink_310" Type="http://schemas.openxmlformats.org/officeDocument/2006/relationships/hyperlink" Target="https://www.test.lavrpack.ru/catalog/?product=8903567a-d574-11ee-a0ad-00e01a6800eb%23be21848d-d577-11ee-a0ad-00e01a6800eb" TargetMode="External"/><Relationship Id="rId_hyperlink_311" Type="http://schemas.openxmlformats.org/officeDocument/2006/relationships/hyperlink" Target="https://www.test.lavrpack.ru/catalog/?product=8903567a-d574-11ee-a0ad-00e01a6800eb%238479e796-d5f7-11ee-a0ad-00e01a6800eb" TargetMode="External"/><Relationship Id="rId_hyperlink_312" Type="http://schemas.openxmlformats.org/officeDocument/2006/relationships/hyperlink" Target="https://www.test.lavrpack.ru/catalog/?product=e1621587-ed2e-11ef-ab3d-22344d083d2c%2342a4fb37-ed2f-11ef-ab3d-22344d083d2c" TargetMode="External"/><Relationship Id="rId_hyperlink_313" Type="http://schemas.openxmlformats.org/officeDocument/2006/relationships/hyperlink" Target="https://www.test.lavrpack.ru/catalog/?product=e1621587-ed2e-11ef-ab3d-22344d083d2c%23444d56bc-7c3f-11f0-ab48-22344d083d2c" TargetMode="External"/><Relationship Id="rId_hyperlink_314" Type="http://schemas.openxmlformats.org/officeDocument/2006/relationships/hyperlink" Target="https://www.test.lavrpack.ru/catalog/?product=e1621587-ed2e-11ef-ab3d-22344d083d2c%23477a3324-3d28-11f0-ab41-22344d083d2c" TargetMode="External"/><Relationship Id="rId_hyperlink_315" Type="http://schemas.openxmlformats.org/officeDocument/2006/relationships/hyperlink" Target="https://www.test.lavrpack.ru/catalog/?product=e1621587-ed2e-11ef-ab3d-22344d083d2c%23ee81d2e3-ed2e-11ef-ab3d-22344d083d2c" TargetMode="External"/><Relationship Id="rId_hyperlink_316" Type="http://schemas.openxmlformats.org/officeDocument/2006/relationships/hyperlink" Target="https://www.test.lavrpack.ru/catalog/?product=e1621587-ed2e-11ef-ab3d-22344d083d2c%23ee81d3cb-ed2e-11ef-ab3d-22344d083d2c" TargetMode="External"/><Relationship Id="rId_hyperlink_317" Type="http://schemas.openxmlformats.org/officeDocument/2006/relationships/hyperlink" Target="https://www.test.lavrpack.ru/catalog/?product=e1621587-ed2e-11ef-ab3d-22344d083d2c%2351a65f4a-ed2f-11ef-ab3d-22344d083d2c" TargetMode="External"/><Relationship Id="rId_hyperlink_318" Type="http://schemas.openxmlformats.org/officeDocument/2006/relationships/hyperlink" Target="https://www.test.lavrpack.ru/catalog/?product=e1621587-ed2e-11ef-ab3d-22344d083d2c%231e05d492-ed2f-11ef-ab3d-22344d083d2c" TargetMode="External"/><Relationship Id="rId_hyperlink_319" Type="http://schemas.openxmlformats.org/officeDocument/2006/relationships/hyperlink" Target="https://www.test.lavrpack.ru/catalog/?product=6da389b3-3e28-11ed-8758-00e01a6800eb" TargetMode="External"/><Relationship Id="rId_hyperlink_320" Type="http://schemas.openxmlformats.org/officeDocument/2006/relationships/hyperlink" Target="https://www.test.lavrpack.ru/catalog/?product=42a2bbf5-1a72-11ee-8f7e-00e01a6800eb" TargetMode="External"/><Relationship Id="rId_hyperlink_321" Type="http://schemas.openxmlformats.org/officeDocument/2006/relationships/hyperlink" Target="https://www.test.lavrpack.ru/catalog/?product=4b589b8e-cef7-11ee-a0ad-00e01a6800eb%237adc53b5-cef7-11ee-a0ad-00e01a6800eb" TargetMode="External"/><Relationship Id="rId_hyperlink_322" Type="http://schemas.openxmlformats.org/officeDocument/2006/relationships/hyperlink" Target="https://www.test.lavrpack.ru/catalog/?product=4b589b8e-cef7-11ee-a0ad-00e01a6800eb%23957db8b1-cef7-11ee-a0ad-00e01a6800eb" TargetMode="External"/><Relationship Id="rId_hyperlink_323" Type="http://schemas.openxmlformats.org/officeDocument/2006/relationships/hyperlink" Target="https://www.test.lavrpack.ru/catalog/?product=5ba2a244-ccc4-11ee-a0ad-00e01a6800eb%237c8adca4-ccc9-11ee-a0ad-00e01a6800eb" TargetMode="External"/><Relationship Id="rId_hyperlink_324" Type="http://schemas.openxmlformats.org/officeDocument/2006/relationships/hyperlink" Target="https://www.test.lavrpack.ru/catalog/?product=5ba2a244-ccc4-11ee-a0ad-00e01a6800eb%232b3d5a40-ccca-11ee-a0ad-00e01a6800eb" TargetMode="External"/><Relationship Id="rId_hyperlink_325" Type="http://schemas.openxmlformats.org/officeDocument/2006/relationships/hyperlink" Target="https://www.test.lavrpack.ru/catalog/?product=5ba2a244-ccc4-11ee-a0ad-00e01a6800eb%23c5cf3c24-ccc7-11ee-a0ad-00e01a6800eb" TargetMode="External"/><Relationship Id="rId_hyperlink_326" Type="http://schemas.openxmlformats.org/officeDocument/2006/relationships/hyperlink" Target="https://www.test.lavrpack.ru/catalog/?product=5ba2a244-ccc4-11ee-a0ad-00e01a6800eb%23b29f1fde-ccc9-11ee-a0ad-00e01a6800eb" TargetMode="External"/><Relationship Id="rId_hyperlink_327" Type="http://schemas.openxmlformats.org/officeDocument/2006/relationships/hyperlink" Target="https://www.test.lavrpack.ru/catalog/?product=5ba2a244-ccc4-11ee-a0ad-00e01a6800eb%231138fb9a-ccc5-11ee-a0ad-00e01a6800eb" TargetMode="External"/><Relationship Id="rId_hyperlink_328" Type="http://schemas.openxmlformats.org/officeDocument/2006/relationships/hyperlink" Target="https://www.test.lavrpack.ru/catalog/?product=5ba2a244-ccc4-11ee-a0ad-00e01a6800eb%23ac41f6c3-ccc7-11ee-a0ad-00e01a6800eb" TargetMode="External"/><Relationship Id="rId_hyperlink_329" Type="http://schemas.openxmlformats.org/officeDocument/2006/relationships/hyperlink" Target="https://www.test.lavrpack.ru/catalog/?product=5ba2a244-ccc4-11ee-a0ad-00e01a6800eb%2399735e62-ccc4-11ee-a0ad-00e01a6800eb" TargetMode="External"/><Relationship Id="rId_hyperlink_330" Type="http://schemas.openxmlformats.org/officeDocument/2006/relationships/hyperlink" Target="https://www.test.lavrpack.ru/catalog/?product=0860668e-cfe3-11ee-a0ad-00e01a6800eb%2366061df2-cfe3-11ee-a0ad-00e01a6800eb" TargetMode="External"/><Relationship Id="rId_hyperlink_331" Type="http://schemas.openxmlformats.org/officeDocument/2006/relationships/hyperlink" Target="https://www.test.lavrpack.ru/catalog/?product=0860668e-cfe3-11ee-a0ad-00e01a6800eb%23538c6a8a-cfe3-11ee-a0ad-00e01a6800eb" TargetMode="External"/><Relationship Id="rId_hyperlink_332" Type="http://schemas.openxmlformats.org/officeDocument/2006/relationships/hyperlink" Target="https://www.test.lavrpack.ru/catalog/?product=2613fedb-cfd5-11ee-a0ad-00e01a6800eb%2356ddd319-cfd5-11ee-a0ad-00e01a6800eb" TargetMode="External"/><Relationship Id="rId_hyperlink_333" Type="http://schemas.openxmlformats.org/officeDocument/2006/relationships/hyperlink" Target="https://www.test.lavrpack.ru/catalog/?product=2613fedb-cfd5-11ee-a0ad-00e01a6800eb%2339855c38-cfd5-11ee-a0ad-00e01a6800eb" TargetMode="External"/><Relationship Id="rId_hyperlink_334" Type="http://schemas.openxmlformats.org/officeDocument/2006/relationships/hyperlink" Target="https://www.test.lavrpack.ru/catalog/?product=2613fedb-cfd5-11ee-a0ad-00e01a6800eb%234769a4c6-cfd5-11ee-a0ad-00e01a6800eb" TargetMode="External"/><Relationship Id="rId_hyperlink_335" Type="http://schemas.openxmlformats.org/officeDocument/2006/relationships/hyperlink" Target="https://www.test.lavrpack.ru/catalog/?product=2613fedb-cfd5-11ee-a0ad-00e01a6800eb%2340a97d0a-cfd5-11ee-a0ad-00e01a6800eb" TargetMode="External"/><Relationship Id="rId_hyperlink_336" Type="http://schemas.openxmlformats.org/officeDocument/2006/relationships/hyperlink" Target="https://www.test.lavrpack.ru/catalog/?product=3ec4895a-778d-11ed-bb4b-00e01a6800eb%232f4c63bd-778e-11ed-bb4b-00e01a6800eb" TargetMode="External"/><Relationship Id="rId_hyperlink_337" Type="http://schemas.openxmlformats.org/officeDocument/2006/relationships/hyperlink" Target="https://www.test.lavrpack.ru/catalog/?product=3ec4895a-778d-11ed-bb4b-00e01a6800eb%23f2f6a050-778e-11ed-bb4b-00e01a6800eb" TargetMode="External"/><Relationship Id="rId_hyperlink_338" Type="http://schemas.openxmlformats.org/officeDocument/2006/relationships/hyperlink" Target="https://www.test.lavrpack.ru/catalog/?product=3ec4895a-778d-11ed-bb4b-00e01a6800eb%23301cff77-9595-11ed-bb4b-00e01a6800eb" TargetMode="External"/><Relationship Id="rId_hyperlink_339" Type="http://schemas.openxmlformats.org/officeDocument/2006/relationships/hyperlink" Target="https://www.test.lavrpack.ru/catalog/?product=3ec4895a-778d-11ed-bb4b-00e01a6800eb%2389bbd125-9595-11ed-bb4b-00e01a6800eb" TargetMode="External"/><Relationship Id="rId_hyperlink_340" Type="http://schemas.openxmlformats.org/officeDocument/2006/relationships/hyperlink" Target="https://www.test.lavrpack.ru/catalog/?product=3ec4895a-778d-11ed-bb4b-00e01a6800eb%23c9908d04-778d-11ed-bb4b-00e01a6800eb" TargetMode="External"/><Relationship Id="rId_hyperlink_341" Type="http://schemas.openxmlformats.org/officeDocument/2006/relationships/hyperlink" Target="https://www.test.lavrpack.ru/catalog/?product=3ec4895a-778d-11ed-bb4b-00e01a6800eb%23d233eb63-778d-11ed-bb4b-00e01a6800eb" TargetMode="External"/><Relationship Id="rId_hyperlink_342" Type="http://schemas.openxmlformats.org/officeDocument/2006/relationships/hyperlink" Target="https://www.test.lavrpack.ru/catalog/?product=3ec4895a-778d-11ed-bb4b-00e01a6800eb%23fff402f4-778e-11ed-bb4b-00e01a6800eb" TargetMode="External"/><Relationship Id="rId_hyperlink_343" Type="http://schemas.openxmlformats.org/officeDocument/2006/relationships/hyperlink" Target="https://www.test.lavrpack.ru/catalog/?product=3ec4895a-778d-11ed-bb4b-00e01a6800eb%2373470edf-9595-11ed-bb4b-00e01a6800eb" TargetMode="External"/><Relationship Id="rId_hyperlink_344" Type="http://schemas.openxmlformats.org/officeDocument/2006/relationships/hyperlink" Target="https://www.test.lavrpack.ru/catalog/?product=3ec4895a-778d-11ed-bb4b-00e01a6800eb%23beb23b35-3603-11ee-a5bc-00e01a6800eb" TargetMode="External"/><Relationship Id="rId_hyperlink_345" Type="http://schemas.openxmlformats.org/officeDocument/2006/relationships/hyperlink" Target="https://www.test.lavrpack.ru/catalog/?product=3ec4895a-778d-11ed-bb4b-00e01a6800eb%23724cbaa9-778d-11ed-bb4b-00e01a6800eb" TargetMode="External"/><Relationship Id="rId_hyperlink_346" Type="http://schemas.openxmlformats.org/officeDocument/2006/relationships/hyperlink" Target="https://www.test.lavrpack.ru/catalog/?product=3ec4895a-778d-11ed-bb4b-00e01a6800eb%239a6f12d2-778e-11ed-bb4b-00e01a6800eb" TargetMode="External"/><Relationship Id="rId_hyperlink_347" Type="http://schemas.openxmlformats.org/officeDocument/2006/relationships/hyperlink" Target="https://www.test.lavrpack.ru/catalog/?product=3ec4895a-778d-11ed-bb4b-00e01a6800eb%239e129644-9595-11ed-bb4b-00e01a6800eb" TargetMode="External"/><Relationship Id="rId_hyperlink_348" Type="http://schemas.openxmlformats.org/officeDocument/2006/relationships/hyperlink" Target="https://www.test.lavrpack.ru/catalog/?product=3ec4895a-778d-11ed-bb4b-00e01a6800eb%236b961913-778d-11ed-bb4b-00e01a6800eb" TargetMode="External"/><Relationship Id="rId_hyperlink_349" Type="http://schemas.openxmlformats.org/officeDocument/2006/relationships/hyperlink" Target="https://www.test.lavrpack.ru/catalog/?product=3ec4895a-778d-11ed-bb4b-00e01a6800eb%23a282f997-778d-11ed-bb4b-00e01a6800eb" TargetMode="External"/><Relationship Id="rId_hyperlink_350" Type="http://schemas.openxmlformats.org/officeDocument/2006/relationships/hyperlink" Target="https://www.test.lavrpack.ru/catalog/?product=3ec4895a-778d-11ed-bb4b-00e01a6800eb%233f7c9f9e-778e-11ed-bb4b-00e01a6800eb" TargetMode="External"/><Relationship Id="rId_hyperlink_351" Type="http://schemas.openxmlformats.org/officeDocument/2006/relationships/hyperlink" Target="https://www.test.lavrpack.ru/catalog/?product=3ec4895a-778d-11ed-bb4b-00e01a6800eb%2367d9d510-778e-11ed-bb4b-00e01a6800eb" TargetMode="External"/><Relationship Id="rId_hyperlink_352" Type="http://schemas.openxmlformats.org/officeDocument/2006/relationships/hyperlink" Target="https://www.test.lavrpack.ru/catalog/?product=3ec4895a-778d-11ed-bb4b-00e01a6800eb%236fa958f7-778e-11ed-bb4b-00e01a6800eb" TargetMode="External"/><Relationship Id="rId_hyperlink_353" Type="http://schemas.openxmlformats.org/officeDocument/2006/relationships/hyperlink" Target="https://www.test.lavrpack.ru/catalog/?product=3ec4895a-778d-11ed-bb4b-00e01a6800eb%23a5a3fab2-95ec-11ef-ab37-22344d083d2c" TargetMode="External"/><Relationship Id="rId_hyperlink_354" Type="http://schemas.openxmlformats.org/officeDocument/2006/relationships/hyperlink" Target="https://www.test.lavrpack.ru/catalog/?product=3ec4895a-778d-11ed-bb4b-00e01a6800eb%23a8ad29ff-778d-11ed-bb4b-00e01a6800eb" TargetMode="External"/><Relationship Id="rId_hyperlink_355" Type="http://schemas.openxmlformats.org/officeDocument/2006/relationships/hyperlink" Target="https://www.test.lavrpack.ru/catalog/?product=3ec4895a-778d-11ed-bb4b-00e01a6800eb%23c05bfab5-778d-11ed-bb4b-00e01a6800eb" TargetMode="External"/><Relationship Id="rId_hyperlink_356" Type="http://schemas.openxmlformats.org/officeDocument/2006/relationships/hyperlink" Target="https://www.test.lavrpack.ru/catalog/?product=3ec4895a-778d-11ed-bb4b-00e01a6800eb%23e7ec79e3-778d-11ed-bb4b-00e01a6800eb" TargetMode="External"/><Relationship Id="rId_hyperlink_357" Type="http://schemas.openxmlformats.org/officeDocument/2006/relationships/hyperlink" Target="https://www.test.lavrpack.ru/catalog/?product=3ec4895a-778d-11ed-bb4b-00e01a6800eb%23ef8ec3a4-778d-11ed-bb4b-00e01a6800eb" TargetMode="External"/><Relationship Id="rId_hyperlink_358" Type="http://schemas.openxmlformats.org/officeDocument/2006/relationships/hyperlink" Target="https://www.test.lavrpack.ru/catalog/?product=3ec4895a-778d-11ed-bb4b-00e01a6800eb%2317859e43-778e-11ed-bb4b-00e01a6800eb" TargetMode="External"/><Relationship Id="rId_hyperlink_359" Type="http://schemas.openxmlformats.org/officeDocument/2006/relationships/hyperlink" Target="https://www.test.lavrpack.ru/catalog/?product=3ec4895a-778d-11ed-bb4b-00e01a6800eb%2357f3640d-778e-11ed-bb4b-00e01a6800eb" TargetMode="External"/><Relationship Id="rId_hyperlink_360" Type="http://schemas.openxmlformats.org/officeDocument/2006/relationships/hyperlink" Target="https://www.test.lavrpack.ru/catalog/?product=3ec4895a-778d-11ed-bb4b-00e01a6800eb%233b692740-9595-11ed-bb4b-00e01a6800eb" TargetMode="External"/><Relationship Id="rId_hyperlink_361" Type="http://schemas.openxmlformats.org/officeDocument/2006/relationships/hyperlink" Target="https://www.test.lavrpack.ru/catalog/?product=3ec4895a-778d-11ed-bb4b-00e01a6800eb%23cc14d5bf-3601-11ee-a5bc-00e01a6800eb" TargetMode="External"/><Relationship Id="rId_hyperlink_362" Type="http://schemas.openxmlformats.org/officeDocument/2006/relationships/hyperlink" Target="https://www.test.lavrpack.ru/catalog/?product=3ec4895a-778d-11ed-bb4b-00e01a6800eb%2304dc8b08-3604-11ee-a5bc-00e01a6800eb" TargetMode="External"/><Relationship Id="rId_hyperlink_363" Type="http://schemas.openxmlformats.org/officeDocument/2006/relationships/hyperlink" Target="https://www.test.lavrpack.ru/catalog/?product=3ec4895a-778d-11ed-bb4b-00e01a6800eb%231e414c90-5bf1-11f0-ab43-22344d083d2c" TargetMode="External"/><Relationship Id="rId_hyperlink_364" Type="http://schemas.openxmlformats.org/officeDocument/2006/relationships/hyperlink" Target="https://www.test.lavrpack.ru/catalog/?product=3ec4895a-778d-11ed-bb4b-00e01a6800eb%23f7892061-778d-11ed-bb4b-00e01a6800eb" TargetMode="External"/><Relationship Id="rId_hyperlink_365" Type="http://schemas.openxmlformats.org/officeDocument/2006/relationships/hyperlink" Target="https://www.test.lavrpack.ru/catalog/?product=3ec4895a-778d-11ed-bb4b-00e01a6800eb%234ef7f290-778e-11ed-bb4b-00e01a6800eb" TargetMode="External"/><Relationship Id="rId_hyperlink_366" Type="http://schemas.openxmlformats.org/officeDocument/2006/relationships/hyperlink" Target="https://www.test.lavrpack.ru/catalog/?product=3ec4895a-778d-11ed-bb4b-00e01a6800eb%23b894401c-778e-11ed-bb4b-00e01a6800eb" TargetMode="External"/><Relationship Id="rId_hyperlink_367" Type="http://schemas.openxmlformats.org/officeDocument/2006/relationships/hyperlink" Target="https://www.test.lavrpack.ru/catalog/?product=3ec4895a-778d-11ed-bb4b-00e01a6800eb%23e7da13e9-778e-11ed-bb4b-00e01a6800eb" TargetMode="External"/><Relationship Id="rId_hyperlink_368" Type="http://schemas.openxmlformats.org/officeDocument/2006/relationships/hyperlink" Target="https://www.test.lavrpack.ru/catalog/?product=3ec4895a-778d-11ed-bb4b-00e01a6800eb%2381881f6a-3603-11ee-a5bc-00e01a6800eb" TargetMode="External"/><Relationship Id="rId_hyperlink_369" Type="http://schemas.openxmlformats.org/officeDocument/2006/relationships/hyperlink" Target="https://www.test.lavrpack.ru/catalog/?product=3ec4895a-778d-11ed-bb4b-00e01a6800eb%2363675e22-778d-11ed-bb4b-00e01a6800eb" TargetMode="External"/><Relationship Id="rId_hyperlink_370" Type="http://schemas.openxmlformats.org/officeDocument/2006/relationships/hyperlink" Target="https://www.test.lavrpack.ru/catalog/?product=3ec4895a-778d-11ed-bb4b-00e01a6800eb%239b5ed8c5-778d-11ed-bb4b-00e01a6800eb" TargetMode="External"/><Relationship Id="rId_hyperlink_371" Type="http://schemas.openxmlformats.org/officeDocument/2006/relationships/hyperlink" Target="https://www.test.lavrpack.ru/catalog/?product=3ec4895a-778d-11ed-bb4b-00e01a6800eb%23218e0af9-778e-11ed-bb4b-00e01a6800eb" TargetMode="External"/><Relationship Id="rId_hyperlink_372" Type="http://schemas.openxmlformats.org/officeDocument/2006/relationships/hyperlink" Target="https://www.test.lavrpack.ru/catalog/?product=3ec4895a-778d-11ed-bb4b-00e01a6800eb%2393f65501-778e-11ed-bb4b-00e01a6800eb" TargetMode="External"/><Relationship Id="rId_hyperlink_373" Type="http://schemas.openxmlformats.org/officeDocument/2006/relationships/hyperlink" Target="https://www.test.lavrpack.ru/catalog/?product=3ec4895a-778d-11ed-bb4b-00e01a6800eb%230ec22219-9595-11ed-bb4b-00e01a6800eb" TargetMode="External"/><Relationship Id="rId_hyperlink_374" Type="http://schemas.openxmlformats.org/officeDocument/2006/relationships/hyperlink" Target="https://www.test.lavrpack.ru/catalog/?product=3ec4895a-778d-11ed-bb4b-00e01a6800eb%23996f7131-95ec-11ef-ab37-22344d083d2c" TargetMode="External"/><Relationship Id="rId_hyperlink_375" Type="http://schemas.openxmlformats.org/officeDocument/2006/relationships/hyperlink" Target="https://www.test.lavrpack.ru/catalog/?product=3ec4895a-778d-11ed-bb4b-00e01a6800eb%235aba7a42-778d-11ed-bb4b-00e01a6800eb" TargetMode="External"/><Relationship Id="rId_hyperlink_376" Type="http://schemas.openxmlformats.org/officeDocument/2006/relationships/hyperlink" Target="https://www.test.lavrpack.ru/catalog/?product=3ec4895a-778d-11ed-bb4b-00e01a6800eb%238e50ccfa-778d-11ed-bb4b-00e01a6800eb" TargetMode="External"/><Relationship Id="rId_hyperlink_377" Type="http://schemas.openxmlformats.org/officeDocument/2006/relationships/hyperlink" Target="https://www.test.lavrpack.ru/catalog/?product=3ec4895a-778d-11ed-bb4b-00e01a6800eb%2360ec7409-778e-11ed-bb4b-00e01a6800eb" TargetMode="External"/><Relationship Id="rId_hyperlink_378" Type="http://schemas.openxmlformats.org/officeDocument/2006/relationships/hyperlink" Target="https://www.test.lavrpack.ru/catalog/?product=3ec4895a-778d-11ed-bb4b-00e01a6800eb%23ac6f7af6-778e-11ed-bb4b-00e01a6800eb" TargetMode="External"/><Relationship Id="rId_hyperlink_379" Type="http://schemas.openxmlformats.org/officeDocument/2006/relationships/hyperlink" Target="https://www.test.lavrpack.ru/catalog/?product=3ec4895a-778d-11ed-bb4b-00e01a6800eb%23503d58c7-9595-11ed-bb4b-00e01a6800eb" TargetMode="External"/><Relationship Id="rId_hyperlink_380" Type="http://schemas.openxmlformats.org/officeDocument/2006/relationships/hyperlink" Target="https://www.test.lavrpack.ru/catalog/?product=3ec4895a-778d-11ed-bb4b-00e01a6800eb%23b8ccbbf6-778d-11ed-bb4b-00e01a6800eb" TargetMode="External"/><Relationship Id="rId_hyperlink_381" Type="http://schemas.openxmlformats.org/officeDocument/2006/relationships/hyperlink" Target="https://www.test.lavrpack.ru/catalog/?product=3ec4895a-778d-11ed-bb4b-00e01a6800eb%23105d5f73-778f-11ed-bb4b-00e01a6800eb" TargetMode="External"/><Relationship Id="rId_hyperlink_382" Type="http://schemas.openxmlformats.org/officeDocument/2006/relationships/hyperlink" Target="https://www.test.lavrpack.ru/catalog/?product=3ec4895a-778d-11ed-bb4b-00e01a6800eb%2318c2da0a-778f-11ed-bb4b-00e01a6800eb" TargetMode="External"/><Relationship Id="rId_hyperlink_383" Type="http://schemas.openxmlformats.org/officeDocument/2006/relationships/hyperlink" Target="https://www.test.lavrpack.ru/catalog/?product=3ec4895a-778d-11ed-bb4b-00e01a6800eb%237caf9bf3-778d-11ed-bb4b-00e01a6800eb" TargetMode="External"/><Relationship Id="rId_hyperlink_384" Type="http://schemas.openxmlformats.org/officeDocument/2006/relationships/hyperlink" Target="https://www.test.lavrpack.ru/catalog/?product=3ec4895a-778d-11ed-bb4b-00e01a6800eb%23845b6aff-778d-11ed-bb4b-00e01a6800eb" TargetMode="External"/><Relationship Id="rId_hyperlink_385" Type="http://schemas.openxmlformats.org/officeDocument/2006/relationships/hyperlink" Target="https://www.test.lavrpack.ru/catalog/?product=3ec4895a-778d-11ed-bb4b-00e01a6800eb%23d8f4126a-778d-11ed-bb4b-00e01a6800eb" TargetMode="External"/><Relationship Id="rId_hyperlink_386" Type="http://schemas.openxmlformats.org/officeDocument/2006/relationships/hyperlink" Target="https://www.test.lavrpack.ru/catalog/?product=3ec4895a-778d-11ed-bb4b-00e01a6800eb%231091190a-778e-11ed-bb4b-00e01a6800eb" TargetMode="External"/><Relationship Id="rId_hyperlink_387" Type="http://schemas.openxmlformats.org/officeDocument/2006/relationships/hyperlink" Target="https://www.test.lavrpack.ru/catalog/?product=3ec4895a-778d-11ed-bb4b-00e01a6800eb%2339468831-778e-11ed-bb4b-00e01a6800eb" TargetMode="External"/><Relationship Id="rId_hyperlink_388" Type="http://schemas.openxmlformats.org/officeDocument/2006/relationships/hyperlink" Target="https://www.test.lavrpack.ru/catalog/?product=3ec4895a-778d-11ed-bb4b-00e01a6800eb%23481d9c78-778e-11ed-bb4b-00e01a6800eb" TargetMode="External"/><Relationship Id="rId_hyperlink_389" Type="http://schemas.openxmlformats.org/officeDocument/2006/relationships/hyperlink" Target="https://www.test.lavrpack.ru/catalog/?product=3ec4895a-778d-11ed-bb4b-00e01a6800eb%23d1cba142-9594-11ed-bb4b-00e01a6800eb" TargetMode="External"/><Relationship Id="rId_hyperlink_390" Type="http://schemas.openxmlformats.org/officeDocument/2006/relationships/hyperlink" Target="https://www.test.lavrpack.ru/catalog/?product=e9dd1fb0-9472-11f0-ab48-22344d083d2c%2358577557-4d2b-11f1-ab50-22344d083d2c" TargetMode="External"/><Relationship Id="rId_hyperlink_391" Type="http://schemas.openxmlformats.org/officeDocument/2006/relationships/hyperlink" Target="https://www.test.lavrpack.ru/catalog/?product=e9dd1fb0-9472-11f0-ab48-22344d083d2c%2373584654-a8c4-11f0-ab48-22344d083d2c" TargetMode="External"/><Relationship Id="rId_hyperlink_392" Type="http://schemas.openxmlformats.org/officeDocument/2006/relationships/hyperlink" Target="https://www.test.lavrpack.ru/catalog/?product=e9dd1fb0-9472-11f0-ab48-22344d083d2c%231960aa56-9473-11f0-ab48-22344d083d2c" TargetMode="External"/><Relationship Id="rId_hyperlink_393" Type="http://schemas.openxmlformats.org/officeDocument/2006/relationships/hyperlink" Target="https://www.test.lavrpack.ru/catalog/?product=e9dd1fb0-9472-11f0-ab48-22344d083d2c%237fa27e74-a8c4-11f0-ab48-22344d083d2c" TargetMode="External"/><Relationship Id="rId_hyperlink_394" Type="http://schemas.openxmlformats.org/officeDocument/2006/relationships/hyperlink" Target="https://www.test.lavrpack.ru/catalog/?product=e9dd1fb0-9472-11f0-ab48-22344d083d2c%23fcfeb9bf-9472-11f0-ab48-22344d083d2c" TargetMode="External"/><Relationship Id="rId_hyperlink_395" Type="http://schemas.openxmlformats.org/officeDocument/2006/relationships/hyperlink" Target="https://www.test.lavrpack.ru/catalog/?product=e9dd1fb0-9472-11f0-ab48-22344d083d2c%238baf242d-a8c4-11f0-ab48-22344d083d2c" TargetMode="External"/><Relationship Id="rId_hyperlink_396" Type="http://schemas.openxmlformats.org/officeDocument/2006/relationships/hyperlink" Target="https://www.test.lavrpack.ru/catalog/?product=e9dd1fb0-9472-11f0-ab48-22344d083d2c%231c526470-a52b-11f1-ab51-22344d083d2c" TargetMode="External"/><Relationship Id="rId_hyperlink_397" Type="http://schemas.openxmlformats.org/officeDocument/2006/relationships/hyperlink" Target="https://www.test.lavrpack.ru/catalog/?product=e9dd1fb0-9472-11f0-ab48-22344d083d2c%235253d811-4d2b-11f1-ab50-22344d083d2c" TargetMode="External"/><Relationship Id="rId_hyperlink_398" Type="http://schemas.openxmlformats.org/officeDocument/2006/relationships/hyperlink" Target="https://www.test.lavrpack.ru/catalog/?product=e9dd1fb0-9472-11f0-ab48-22344d083d2c%233f29856d-4d2b-11f1-ab50-22344d083d2c" TargetMode="External"/><Relationship Id="rId_hyperlink_399" Type="http://schemas.openxmlformats.org/officeDocument/2006/relationships/hyperlink" Target="https://www.test.lavrpack.ru/catalog/?product=e9dd1fb0-9472-11f0-ab48-22344d083d2c%2345b6c50e-4d2b-11f1-ab50-22344d083d2c" TargetMode="External"/><Relationship Id="rId_hyperlink_400" Type="http://schemas.openxmlformats.org/officeDocument/2006/relationships/hyperlink" Target="https://www.test.lavrpack.ru/catalog/?product=e9dd1fb0-9472-11f0-ab48-22344d083d2c%232ae01b69-4d2b-11f1-ab50-22344d083d2c" TargetMode="External"/><Relationship Id="rId_hyperlink_401" Type="http://schemas.openxmlformats.org/officeDocument/2006/relationships/hyperlink" Target="https://www.test.lavrpack.ru/catalog/?product=e9dd1fb0-9472-11f0-ab48-22344d083d2c%23380679ea-4d2b-11f1-ab50-22344d083d2c" TargetMode="External"/><Relationship Id="rId_hyperlink_402" Type="http://schemas.openxmlformats.org/officeDocument/2006/relationships/hyperlink" Target="https://www.test.lavrpack.ru/catalog/?product=e9dd1fb0-9472-11f0-ab48-22344d083d2c%23b081dbef-8508-11f1-ab51-22344d083d2c" TargetMode="External"/><Relationship Id="rId_hyperlink_403" Type="http://schemas.openxmlformats.org/officeDocument/2006/relationships/hyperlink" Target="https://www.test.lavrpack.ru/catalog/?product=e9dd1fb0-9472-11f0-ab48-22344d083d2c%23105c8d65-a52b-11f1-ab51-22344d083d2c" TargetMode="External"/><Relationship Id="rId_hyperlink_404" Type="http://schemas.openxmlformats.org/officeDocument/2006/relationships/hyperlink" Target="https://www.test.lavrpack.ru/catalog/?product=e9dd1fb0-9472-11f0-ab48-22344d083d2c%23f5eb4ff1-9472-11f0-ab48-22344d083d2c" TargetMode="External"/><Relationship Id="rId_hyperlink_405" Type="http://schemas.openxmlformats.org/officeDocument/2006/relationships/hyperlink" Target="https://www.test.lavrpack.ru/catalog/?product=e9dd1fb0-9472-11f0-ab48-22344d083d2c%23030465f6-9473-11f0-ab48-22344d083d2c" TargetMode="External"/><Relationship Id="rId_hyperlink_406" Type="http://schemas.openxmlformats.org/officeDocument/2006/relationships/hyperlink" Target="https://www.test.lavrpack.ru/catalog/?product=e9dd1fb0-9472-11f0-ab48-22344d083d2c%23111c29f4-9473-11f0-ab48-22344d083d2c" TargetMode="External"/><Relationship Id="rId_hyperlink_407" Type="http://schemas.openxmlformats.org/officeDocument/2006/relationships/hyperlink" Target="https://www.test.lavrpack.ru/catalog/?product=e9dd1fb0-9472-11f0-ab48-22344d083d2c%2320fe79de-9473-11f0-ab48-22344d083d2c" TargetMode="External"/><Relationship Id="rId_hyperlink_408" Type="http://schemas.openxmlformats.org/officeDocument/2006/relationships/hyperlink" Target="https://www.test.lavrpack.ru/catalog/?product=e9dd1fb0-9472-11f0-ab48-22344d083d2c%2316562454-a52b-11f1-ab51-22344d083d2c" TargetMode="External"/><Relationship Id="rId_hyperlink_409" Type="http://schemas.openxmlformats.org/officeDocument/2006/relationships/hyperlink" Target="https://www.test.lavrpack.ru/catalog/?product=04975a81-95ed-11ef-ab37-22344d083d2c%2368a550e3-95ee-11ef-ab37-22344d083d2c" TargetMode="External"/><Relationship Id="rId_hyperlink_410" Type="http://schemas.openxmlformats.org/officeDocument/2006/relationships/hyperlink" Target="https://www.test.lavrpack.ru/catalog/?product=04975a81-95ed-11ef-ab37-22344d083d2c%238e896ee7-95ee-11ef-ab37-22344d083d2c" TargetMode="External"/><Relationship Id="rId_hyperlink_411" Type="http://schemas.openxmlformats.org/officeDocument/2006/relationships/hyperlink" Target="https://www.test.lavrpack.ru/catalog/?product=04975a81-95ed-11ef-ab37-22344d083d2c%231dfa2502-95ed-11ef-ab37-22344d083d2c" TargetMode="External"/><Relationship Id="rId_hyperlink_412" Type="http://schemas.openxmlformats.org/officeDocument/2006/relationships/hyperlink" Target="https://www.test.lavrpack.ru/catalog/?product=04975a81-95ed-11ef-ab37-22344d083d2c%2324df8014-95ed-11ef-ab37-22344d083d2c" TargetMode="External"/><Relationship Id="rId_hyperlink_413" Type="http://schemas.openxmlformats.org/officeDocument/2006/relationships/hyperlink" Target="https://www.test.lavrpack.ru/catalog/?product=04975a81-95ed-11ef-ab37-22344d083d2c%23390612be-95ee-11ef-ab37-22344d083d2c" TargetMode="External"/><Relationship Id="rId_hyperlink_414" Type="http://schemas.openxmlformats.org/officeDocument/2006/relationships/hyperlink" Target="https://www.test.lavrpack.ru/catalog/?product=04975a81-95ed-11ef-ab37-22344d083d2c%23a165f2de-95ee-11ef-ab37-22344d083d2c" TargetMode="External"/><Relationship Id="rId_hyperlink_415" Type="http://schemas.openxmlformats.org/officeDocument/2006/relationships/hyperlink" Target="https://www.test.lavrpack.ru/catalog/?product=04975a81-95ed-11ef-ab37-22344d083d2c%231a020469-95ee-11ef-ab37-22344d083d2c" TargetMode="External"/><Relationship Id="rId_hyperlink_416" Type="http://schemas.openxmlformats.org/officeDocument/2006/relationships/hyperlink" Target="https://www.test.lavrpack.ru/catalog/?product=04975a81-95ed-11ef-ab37-22344d083d2c%2383a0a592-95ee-11ef-ab37-22344d083d2c" TargetMode="External"/><Relationship Id="rId_hyperlink_417" Type="http://schemas.openxmlformats.org/officeDocument/2006/relationships/hyperlink" Target="https://www.test.lavrpack.ru/catalog/?product=04975a81-95ed-11ef-ab37-22344d083d2c%239ace45d8-95ee-11ef-ab37-22344d083d2c" TargetMode="External"/><Relationship Id="rId_hyperlink_418" Type="http://schemas.openxmlformats.org/officeDocument/2006/relationships/hyperlink" Target="https://www.test.lavrpack.ru/catalog/?product=04975a81-95ed-11ef-ab37-22344d083d2c%2310fe5e7d-95ed-11ef-ab37-22344d083d2c" TargetMode="External"/><Relationship Id="rId_hyperlink_419" Type="http://schemas.openxmlformats.org/officeDocument/2006/relationships/hyperlink" Target="https://www.test.lavrpack.ru/catalog/?product=04975a81-95ed-11ef-ab37-22344d083d2c%23abf73fad-95ee-11ef-ab37-22344d083d2c" TargetMode="External"/><Relationship Id="rId_hyperlink_420" Type="http://schemas.openxmlformats.org/officeDocument/2006/relationships/hyperlink" Target="https://www.test.lavrpack.ru/catalog/?product=04975a81-95ed-11ef-ab37-22344d083d2c%23f8f28cca-95ed-11ef-ab37-22344d083d2c" TargetMode="External"/><Relationship Id="rId_hyperlink_421" Type="http://schemas.openxmlformats.org/officeDocument/2006/relationships/hyperlink" Target="https://www.test.lavrpack.ru/catalog/?product=04975a81-95ed-11ef-ab37-22344d083d2c%2312e623ce-95ee-11ef-ab37-22344d083d2c" TargetMode="External"/><Relationship Id="rId_hyperlink_422" Type="http://schemas.openxmlformats.org/officeDocument/2006/relationships/hyperlink" Target="https://www.test.lavrpack.ru/catalog/?product=04975a81-95ed-11ef-ab37-22344d083d2c%2306bed04d-95ee-11ef-ab37-22344d083d2c" TargetMode="External"/><Relationship Id="rId_hyperlink_423" Type="http://schemas.openxmlformats.org/officeDocument/2006/relationships/hyperlink" Target="https://www.test.lavrpack.ru/catalog/?product=04975a81-95ed-11ef-ab37-22344d083d2c%2374e2f024-95ee-11ef-ab37-22344d083d2c" TargetMode="External"/><Relationship Id="rId_hyperlink_424" Type="http://schemas.openxmlformats.org/officeDocument/2006/relationships/hyperlink" Target="https://www.test.lavrpack.ru/catalog/?product=04975a81-95ed-11ef-ab37-22344d083d2c%23311320be-95ed-11ef-ab37-22344d083d2c" TargetMode="External"/><Relationship Id="rId_hyperlink_425" Type="http://schemas.openxmlformats.org/officeDocument/2006/relationships/hyperlink" Target="https://www.test.lavrpack.ru/catalog/?product=04975a81-95ed-11ef-ab37-22344d083d2c%23370f34de-95ed-11ef-ab37-22344d083d2c" TargetMode="External"/><Relationship Id="rId_hyperlink_426" Type="http://schemas.openxmlformats.org/officeDocument/2006/relationships/hyperlink" Target="https://www.test.lavrpack.ru/catalog/?product=04975a81-95ed-11ef-ab37-22344d083d2c%23263e02ec-95ee-11ef-ab37-22344d083d2c" TargetMode="External"/><Relationship Id="rId_hyperlink_427" Type="http://schemas.openxmlformats.org/officeDocument/2006/relationships/hyperlink" Target="https://www.test.lavrpack.ru/catalog/?product=e3f4fed0-cc07-11ee-a0ad-00e01a6800eb%235b83dc65-cc08-11ee-a0ad-00e01a6800eb" TargetMode="External"/><Relationship Id="rId_hyperlink_428" Type="http://schemas.openxmlformats.org/officeDocument/2006/relationships/hyperlink" Target="https://www.test.lavrpack.ru/catalog/?product=b9a1727a-cc02-11ee-a0ad-00e01a6800eb%230c4d5d2e-cc03-11ee-a0ad-00e01a6800eb" TargetMode="External"/><Relationship Id="rId_hyperlink_429" Type="http://schemas.openxmlformats.org/officeDocument/2006/relationships/hyperlink" Target="https://www.test.lavrpack.ru/catalog/?product=988000d2-cbe9-11ee-a0ad-00e01a6800eb%23dec21e78-cbe9-11ee-a0ad-00e01a6800eb" TargetMode="External"/><Relationship Id="rId_hyperlink_430" Type="http://schemas.openxmlformats.org/officeDocument/2006/relationships/hyperlink" Target="https://www.test.lavrpack.ru/catalog/?product=94dcf1fe-6a7e-11ef-ab51-1cfd08767542%23a6c3514b-6a7e-11ef-ab51-1cfd08767542" TargetMode="External"/><Relationship Id="rId_hyperlink_431" Type="http://schemas.openxmlformats.org/officeDocument/2006/relationships/hyperlink" Target="https://www.test.lavrpack.ru/catalog/?product=94dcf1fe-6a7e-11ef-ab51-1cfd08767542%23b4826047-6a7e-11ef-ab51-1cfd08767542" TargetMode="External"/><Relationship Id="rId_hyperlink_432" Type="http://schemas.openxmlformats.org/officeDocument/2006/relationships/hyperlink" Target="https://www.test.lavrpack.ru/catalog/?product=94dcf1fe-6a7e-11ef-ab51-1cfd08767542%23a0a28935-6a7e-11ef-ab51-1cfd08767542" TargetMode="External"/><Relationship Id="rId_hyperlink_433" Type="http://schemas.openxmlformats.org/officeDocument/2006/relationships/hyperlink" Target="https://www.test.lavrpack.ru/catalog/?product=94dcf1fe-6a7e-11ef-ab51-1cfd08767542%23a6c3515b-6a7e-11ef-ab51-1cfd08767542" TargetMode="External"/><Relationship Id="rId_hyperlink_434" Type="http://schemas.openxmlformats.org/officeDocument/2006/relationships/hyperlink" Target="https://www.test.lavrpack.ru/catalog/?product=dde332f2-cb1a-11ee-a0ad-00e01a6800eb%23ca8a215e-cb1b-11ee-a0ad-00e01a6800eb" TargetMode="External"/><Relationship Id="rId_hyperlink_435" Type="http://schemas.openxmlformats.org/officeDocument/2006/relationships/hyperlink" Target="https://www.test.lavrpack.ru/catalog/?product=dde332f2-cb1a-11ee-a0ad-00e01a6800eb%230327be4c-cb1b-11ee-a0ad-00e01a6800eb" TargetMode="External"/><Relationship Id="rId_hyperlink_436" Type="http://schemas.openxmlformats.org/officeDocument/2006/relationships/hyperlink" Target="https://www.test.lavrpack.ru/catalog/?product=b4879588-caff-11ee-a0ad-00e01a6800eb%23c3f23f0f-caff-11ee-a0ad-00e01a6800eb" TargetMode="External"/><Relationship Id="rId_hyperlink_437" Type="http://schemas.openxmlformats.org/officeDocument/2006/relationships/hyperlink" Target="https://www.test.lavrpack.ru/catalog/?product=b4879588-caff-11ee-a0ad-00e01a6800eb%232c5456d2-cb00-11ee-a0ad-00e01a6800eb" TargetMode="External"/><Relationship Id="rId_hyperlink_438" Type="http://schemas.openxmlformats.org/officeDocument/2006/relationships/hyperlink" Target="https://www.test.lavrpack.ru/catalog/?product=0e3551cb-cafe-11ee-a0ad-00e01a6800eb%2353550781-cafe-11ee-a0ad-00e01a6800eb" TargetMode="External"/><Relationship Id="rId_hyperlink_439" Type="http://schemas.openxmlformats.org/officeDocument/2006/relationships/hyperlink" Target="https://www.test.lavrpack.ru/catalog/?product=0e3551cb-cafe-11ee-a0ad-00e01a6800eb%2308c2e985-caff-11ee-a0ad-00e01a6800eb" TargetMode="External"/><Relationship Id="rId_hyperlink_440" Type="http://schemas.openxmlformats.org/officeDocument/2006/relationships/hyperlink" Target="https://www.test.lavrpack.ru/catalog/?product=38631d3b-cafa-11ee-a0ad-00e01a6800eb%237457c60e-cafa-11ee-a0ad-00e01a6800eb" TargetMode="External"/><Relationship Id="rId_hyperlink_441" Type="http://schemas.openxmlformats.org/officeDocument/2006/relationships/hyperlink" Target="https://www.test.lavrpack.ru/catalog/?product=6679d477-08ac-11f1-ab4d-22344d083d2c%23cd3edbce-08ac-11f1-ab4d-22344d083d2c" TargetMode="External"/><Relationship Id="rId_hyperlink_442" Type="http://schemas.openxmlformats.org/officeDocument/2006/relationships/hyperlink" Target="https://www.test.lavrpack.ru/catalog/?product=6679d477-08ac-11f1-ab4d-22344d083d2c%23d3464da8-08ac-11f1-ab4d-22344d083d2c" TargetMode="External"/><Relationship Id="rId_hyperlink_443" Type="http://schemas.openxmlformats.org/officeDocument/2006/relationships/hyperlink" Target="https://www.test.lavrpack.ru/catalog/?product=6679d477-08ac-11f1-ab4d-22344d083d2c%2389b42fce-08ad-11f1-ab4d-22344d083d2c" TargetMode="External"/><Relationship Id="rId_hyperlink_444" Type="http://schemas.openxmlformats.org/officeDocument/2006/relationships/hyperlink" Target="https://www.test.lavrpack.ru/catalog/?product=6679d477-08ac-11f1-ab4d-22344d083d2c%237eec7784-08ac-11f1-ab4d-22344d083d2c" TargetMode="External"/><Relationship Id="rId_hyperlink_445" Type="http://schemas.openxmlformats.org/officeDocument/2006/relationships/hyperlink" Target="https://www.test.lavrpack.ru/catalog/?product=6679d477-08ac-11f1-ab4d-22344d083d2c%2361c0b2d1-08ad-11f1-ab4d-22344d083d2c" TargetMode="External"/><Relationship Id="rId_hyperlink_446" Type="http://schemas.openxmlformats.org/officeDocument/2006/relationships/hyperlink" Target="https://www.test.lavrpack.ru/catalog/?product=6679d477-08ac-11f1-ab4d-22344d083d2c%238fd98b17-08ad-11f1-ab4d-22344d083d2c" TargetMode="External"/><Relationship Id="rId_hyperlink_447" Type="http://schemas.openxmlformats.org/officeDocument/2006/relationships/hyperlink" Target="https://www.test.lavrpack.ru/catalog/?product=6679d477-08ac-11f1-ab4d-22344d083d2c%23261dd3b1-08ad-11f1-ab4d-22344d083d2c" TargetMode="External"/><Relationship Id="rId_hyperlink_448" Type="http://schemas.openxmlformats.org/officeDocument/2006/relationships/hyperlink" Target="https://www.test.lavrpack.ru/catalog/?product=6679d477-08ac-11f1-ab4d-22344d083d2c%23738f3eb1-08ad-11f1-ab4d-22344d083d2c" TargetMode="External"/><Relationship Id="rId_hyperlink_449" Type="http://schemas.openxmlformats.org/officeDocument/2006/relationships/hyperlink" Target="https://www.test.lavrpack.ru/catalog/?product=6679d477-08ac-11f1-ab4d-22344d083d2c%2382e3410d-08ad-11f1-ab4d-22344d083d2c" TargetMode="External"/><Relationship Id="rId_hyperlink_450" Type="http://schemas.openxmlformats.org/officeDocument/2006/relationships/hyperlink" Target="https://www.test.lavrpack.ru/catalog/?product=6679d477-08ac-11f1-ab4d-22344d083d2c%23ec0dab48-08ac-11f1-ab4d-22344d083d2c" TargetMode="External"/><Relationship Id="rId_hyperlink_451" Type="http://schemas.openxmlformats.org/officeDocument/2006/relationships/hyperlink" Target="https://www.test.lavrpack.ru/catalog/?product=6679d477-08ac-11f1-ab4d-22344d083d2c%2395eb853c-08ad-11f1-ab4d-22344d083d2c" TargetMode="External"/><Relationship Id="rId_hyperlink_452" Type="http://schemas.openxmlformats.org/officeDocument/2006/relationships/hyperlink" Target="https://www.test.lavrpack.ru/catalog/?product=6679d477-08ac-11f1-ab4d-22344d083d2c%2393bb5252-08ac-11f1-ab4d-22344d083d2c" TargetMode="External"/><Relationship Id="rId_hyperlink_453" Type="http://schemas.openxmlformats.org/officeDocument/2006/relationships/hyperlink" Target="https://www.test.lavrpack.ru/catalog/?product=6679d477-08ac-11f1-ab4d-22344d083d2c%23a70d304d-08ac-11f1-ab4d-22344d083d2c" TargetMode="External"/><Relationship Id="rId_hyperlink_454" Type="http://schemas.openxmlformats.org/officeDocument/2006/relationships/hyperlink" Target="https://www.test.lavrpack.ru/catalog/?product=6679d477-08ac-11f1-ab4d-22344d083d2c%23c727afd2-08ac-11f1-ab4d-22344d083d2c" TargetMode="External"/><Relationship Id="rId_hyperlink_455" Type="http://schemas.openxmlformats.org/officeDocument/2006/relationships/hyperlink" Target="https://www.test.lavrpack.ru/catalog/?product=6679d477-08ac-11f1-ab4d-22344d083d2c%23dfeb0c33-08ac-11f1-ab4d-22344d083d2c" TargetMode="External"/><Relationship Id="rId_hyperlink_456" Type="http://schemas.openxmlformats.org/officeDocument/2006/relationships/hyperlink" Target="https://www.test.lavrpack.ru/catalog/?product=6679d477-08ac-11f1-ab4d-22344d083d2c%2338dfaefd-08ad-11f1-ab4d-22344d083d2c" TargetMode="External"/><Relationship Id="rId_hyperlink_457" Type="http://schemas.openxmlformats.org/officeDocument/2006/relationships/hyperlink" Target="https://www.test.lavrpack.ru/catalog/?product=6679d477-08ac-11f1-ab4d-22344d083d2c%233f10dd71-08ad-11f1-ab4d-22344d083d2c" TargetMode="External"/><Relationship Id="rId_hyperlink_458" Type="http://schemas.openxmlformats.org/officeDocument/2006/relationships/hyperlink" Target="https://www.test.lavrpack.ru/catalog/?product=6679d477-08ac-11f1-ab4d-22344d083d2c%23a0c6445e-08ac-11f1-ab4d-22344d083d2c" TargetMode="External"/><Relationship Id="rId_hyperlink_459" Type="http://schemas.openxmlformats.org/officeDocument/2006/relationships/hyperlink" Target="https://www.test.lavrpack.ru/catalog/?product=6679d477-08ac-11f1-ab4d-22344d083d2c%23b3408b03-08ac-11f1-ab4d-22344d083d2c" TargetMode="External"/><Relationship Id="rId_hyperlink_460" Type="http://schemas.openxmlformats.org/officeDocument/2006/relationships/hyperlink" Target="https://www.test.lavrpack.ru/catalog/?product=6679d477-08ac-11f1-ab4d-22344d083d2c%237a4ab1b0-08ad-11f1-ab4d-22344d083d2c" TargetMode="External"/><Relationship Id="rId_hyperlink_461" Type="http://schemas.openxmlformats.org/officeDocument/2006/relationships/hyperlink" Target="https://www.test.lavrpack.ru/catalog/?product=6679d477-08ac-11f1-ab4d-22344d083d2c%2313337470-08ad-11f1-ab4d-22344d083d2c" TargetMode="External"/><Relationship Id="rId_hyperlink_462" Type="http://schemas.openxmlformats.org/officeDocument/2006/relationships/hyperlink" Target="https://www.test.lavrpack.ru/catalog/?product=6679d477-08ac-11f1-ab4d-22344d083d2c%231f2c344b-08ad-11f1-ab4d-22344d083d2c" TargetMode="External"/><Relationship Id="rId_hyperlink_463" Type="http://schemas.openxmlformats.org/officeDocument/2006/relationships/hyperlink" Target="https://www.test.lavrpack.ru/catalog/?product=6679d477-08ac-11f1-ab4d-22344d083d2c%236ba3436e-08ad-11f1-ab4d-22344d083d2c" TargetMode="External"/><Relationship Id="rId_hyperlink_464" Type="http://schemas.openxmlformats.org/officeDocument/2006/relationships/hyperlink" Target="https://www.test.lavrpack.ru/catalog/?product=6679d477-08ac-11f1-ab4d-22344d083d2c%23ff992b42-08ac-11f1-ab4d-22344d083d2c" TargetMode="External"/><Relationship Id="rId_hyperlink_465" Type="http://schemas.openxmlformats.org/officeDocument/2006/relationships/hyperlink" Target="https://www.test.lavrpack.ru/catalog/?product=6679d477-08ac-11f1-ab4d-22344d083d2c%234b2e766f-08ad-11f1-ab4d-22344d083d2c" TargetMode="External"/><Relationship Id="rId_hyperlink_466" Type="http://schemas.openxmlformats.org/officeDocument/2006/relationships/hyperlink" Target="https://www.test.lavrpack.ru/catalog/?product=6679d477-08ac-11f1-ab4d-22344d083d2c%2385ce43f8-08ac-11f1-ab4d-22344d083d2c" TargetMode="External"/><Relationship Id="rId_hyperlink_467" Type="http://schemas.openxmlformats.org/officeDocument/2006/relationships/hyperlink" Target="https://www.test.lavrpack.ru/catalog/?product=6679d477-08ac-11f1-ab4d-22344d083d2c%230c154233-08ad-11f1-ab4d-22344d083d2c" TargetMode="External"/><Relationship Id="rId_hyperlink_468" Type="http://schemas.openxmlformats.org/officeDocument/2006/relationships/hyperlink" Target="https://www.test.lavrpack.ru/catalog/?product=6679d477-08ac-11f1-ab4d-22344d083d2c%232cda80ce-08ad-11f1-ab4d-22344d083d2c" TargetMode="External"/><Relationship Id="rId_hyperlink_469" Type="http://schemas.openxmlformats.org/officeDocument/2006/relationships/hyperlink" Target="https://www.test.lavrpack.ru/catalog/?product=6679d477-08ac-11f1-ab4d-22344d083d2c%2351282a08-08ad-11f1-ab4d-22344d083d2c" TargetMode="External"/><Relationship Id="rId_hyperlink_470" Type="http://schemas.openxmlformats.org/officeDocument/2006/relationships/hyperlink" Target="https://www.test.lavrpack.ru/catalog/?product=6679d477-08ac-11f1-ab4d-22344d083d2c%23575272a5-08ad-11f1-ab4d-22344d083d2c" TargetMode="External"/><Relationship Id="rId_hyperlink_471" Type="http://schemas.openxmlformats.org/officeDocument/2006/relationships/hyperlink" Target="https://www.test.lavrpack.ru/catalog/?product=c58dafa4-211c-11f1-ab4e-22344d083d2c%234b0b7b15-211f-11f1-ab4e-22344d083d2c" TargetMode="External"/><Relationship Id="rId_hyperlink_472" Type="http://schemas.openxmlformats.org/officeDocument/2006/relationships/hyperlink" Target="https://www.test.lavrpack.ru/catalog/?product=c58dafa4-211c-11f1-ab4e-22344d083d2c%23d9fda8ab-211c-11f1-ab4e-22344d083d2c" TargetMode="External"/><Relationship Id="rId_hyperlink_473" Type="http://schemas.openxmlformats.org/officeDocument/2006/relationships/hyperlink" Target="https://www.test.lavrpack.ru/catalog/?product=c58dafa4-211c-11f1-ab4e-22344d083d2c%23390bd9e0-211d-11f1-ab4e-22344d083d2c" TargetMode="External"/><Relationship Id="rId_hyperlink_474" Type="http://schemas.openxmlformats.org/officeDocument/2006/relationships/hyperlink" Target="https://www.test.lavrpack.ru/catalog/?product=c58dafa4-211c-11f1-ab4e-22344d083d2c%236aabd7bf-211d-11f1-ab4e-22344d083d2c" TargetMode="External"/><Relationship Id="rId_hyperlink_475" Type="http://schemas.openxmlformats.org/officeDocument/2006/relationships/hyperlink" Target="https://www.test.lavrpack.ru/catalog/?product=c58dafa4-211c-11f1-ab4e-22344d083d2c%232981ac8e-211e-11f1-ab4e-22344d083d2c" TargetMode="External"/><Relationship Id="rId_hyperlink_476" Type="http://schemas.openxmlformats.org/officeDocument/2006/relationships/hyperlink" Target="https://www.test.lavrpack.ru/catalog/?product=c58dafa4-211c-11f1-ab4e-22344d083d2c%232782cab1-211f-11f1-ab4e-22344d083d2c" TargetMode="External"/><Relationship Id="rId_hyperlink_477" Type="http://schemas.openxmlformats.org/officeDocument/2006/relationships/hyperlink" Target="https://www.test.lavrpack.ru/catalog/?product=c58dafa4-211c-11f1-ab4e-22344d083d2c%231a84dc38-211e-11f1-ab4e-22344d083d2c" TargetMode="External"/><Relationship Id="rId_hyperlink_478" Type="http://schemas.openxmlformats.org/officeDocument/2006/relationships/hyperlink" Target="https://www.test.lavrpack.ru/catalog/?product=c58dafa4-211c-11f1-ab4e-22344d083d2c%230781b3e3-211f-11f1-ab4e-22344d083d2c" TargetMode="External"/><Relationship Id="rId_hyperlink_479" Type="http://schemas.openxmlformats.org/officeDocument/2006/relationships/hyperlink" Target="https://www.test.lavrpack.ru/catalog/?product=c58dafa4-211c-11f1-ab4e-22344d083d2c%23381bf73a-211e-11f1-ab4e-22344d083d2c" TargetMode="External"/><Relationship Id="rId_hyperlink_480" Type="http://schemas.openxmlformats.org/officeDocument/2006/relationships/hyperlink" Target="https://www.test.lavrpack.ru/catalog/?product=c58dafa4-211c-11f1-ab4e-22344d083d2c%23eee2e26f-211c-11f1-ab4e-22344d083d2c" TargetMode="External"/><Relationship Id="rId_hyperlink_481" Type="http://schemas.openxmlformats.org/officeDocument/2006/relationships/hyperlink" Target="https://www.test.lavrpack.ru/catalog/?product=c58dafa4-211c-11f1-ab4e-22344d083d2c%23a658fb6a-211e-11f1-ab4e-22344d083d2c" TargetMode="External"/><Relationship Id="rId_hyperlink_482" Type="http://schemas.openxmlformats.org/officeDocument/2006/relationships/hyperlink" Target="https://www.test.lavrpack.ru/catalog/?product=c58dafa4-211c-11f1-ab4e-22344d083d2c%23e294dc7d-211e-11f1-ab4e-22344d083d2c" TargetMode="External"/><Relationship Id="rId_hyperlink_483" Type="http://schemas.openxmlformats.org/officeDocument/2006/relationships/hyperlink" Target="https://www.test.lavrpack.ru/catalog/?product=c58dafa4-211c-11f1-ab4e-22344d083d2c%235d4db55c-211f-11f1-ab4e-22344d083d2c" TargetMode="External"/><Relationship Id="rId_hyperlink_484" Type="http://schemas.openxmlformats.org/officeDocument/2006/relationships/hyperlink" Target="https://www.test.lavrpack.ru/catalog/?product=c58dafa4-211c-11f1-ab4e-22344d083d2c%2379056f9c-211d-11f1-ab4e-22344d083d2c" TargetMode="External"/><Relationship Id="rId_hyperlink_485" Type="http://schemas.openxmlformats.org/officeDocument/2006/relationships/hyperlink" Target="https://www.test.lavrpack.ru/catalog/?product=c58dafa4-211c-11f1-ab4e-22344d083d2c%233c941ae7-211f-11f1-ab4e-22344d083d2c" TargetMode="External"/><Relationship Id="rId_hyperlink_486" Type="http://schemas.openxmlformats.org/officeDocument/2006/relationships/hyperlink" Target="https://www.test.lavrpack.ru/catalog/?product=c58dafa4-211c-11f1-ab4e-22344d083d2c%235a7ac55c-211d-11f1-ab4e-22344d083d2c" TargetMode="External"/><Relationship Id="rId_hyperlink_487" Type="http://schemas.openxmlformats.org/officeDocument/2006/relationships/hyperlink" Target="https://www.test.lavrpack.ru/catalog/?product=c58dafa4-211c-11f1-ab4e-22344d083d2c%2306037e68-211d-11f1-ab4e-22344d083d2c" TargetMode="External"/><Relationship Id="rId_hyperlink_488" Type="http://schemas.openxmlformats.org/officeDocument/2006/relationships/hyperlink" Target="https://www.test.lavrpack.ru/catalog/?product=c58dafa4-211c-11f1-ab4e-22344d083d2c%23f50677a3-211d-11f1-ab4e-22344d083d2c" TargetMode="External"/><Relationship Id="rId_hyperlink_489" Type="http://schemas.openxmlformats.org/officeDocument/2006/relationships/hyperlink" Target="https://www.test.lavrpack.ru/catalog/?product=c58dafa4-211c-11f1-ab4e-22344d083d2c%23f86eae66-211e-11f1-ab4e-22344d083d2c" TargetMode="External"/><Relationship Id="rId_hyperlink_490" Type="http://schemas.openxmlformats.org/officeDocument/2006/relationships/hyperlink" Target="https://www.test.lavrpack.ru/catalog/?product=c58dafa4-211c-11f1-ab4e-22344d083d2c%234d95c1e4-211d-11f1-ab4e-22344d083d2c" TargetMode="External"/><Relationship Id="rId_hyperlink_491" Type="http://schemas.openxmlformats.org/officeDocument/2006/relationships/hyperlink" Target="https://www.test.lavrpack.ru/catalog/?product=f1131815-ca66-11ee-a0ad-00e01a6800eb%23ff0eeeba-9680-11ef-ab37-22344d083d2c" TargetMode="External"/><Relationship Id="rId_hyperlink_492" Type="http://schemas.openxmlformats.org/officeDocument/2006/relationships/hyperlink" Target="https://www.test.lavrpack.ru/catalog/?product=f1131815-ca66-11ee-a0ad-00e01a6800eb%23e8a28ffa-9680-11ef-ab37-22344d083d2c" TargetMode="External"/><Relationship Id="rId_hyperlink_493" Type="http://schemas.openxmlformats.org/officeDocument/2006/relationships/hyperlink" Target="https://www.test.lavrpack.ru/catalog/?product=f1131815-ca66-11ee-a0ad-00e01a6800eb%2347667f84-ca67-11ee-a0ad-00e01a6800eb" TargetMode="External"/><Relationship Id="rId_hyperlink_494" Type="http://schemas.openxmlformats.org/officeDocument/2006/relationships/hyperlink" Target="https://www.test.lavrpack.ru/catalog/?product=f1131815-ca66-11ee-a0ad-00e01a6800eb%237bef16d3-b91f-11ef-ab3b-22344d083d2c" TargetMode="External"/><Relationship Id="rId_hyperlink_495" Type="http://schemas.openxmlformats.org/officeDocument/2006/relationships/hyperlink" Target="https://www.test.lavrpack.ru/catalog/?product=f1131815-ca66-11ee-a0ad-00e01a6800eb%2385b1ef1c-b91f-11ef-ab3b-22344d083d2c" TargetMode="External"/><Relationship Id="rId_hyperlink_496" Type="http://schemas.openxmlformats.org/officeDocument/2006/relationships/hyperlink" Target="https://www.test.lavrpack.ru/catalog/?product=f1131815-ca66-11ee-a0ad-00e01a6800eb%2305c10c76-ca67-11ee-a0ad-00e01a6800eb" TargetMode="External"/><Relationship Id="rId_hyperlink_497" Type="http://schemas.openxmlformats.org/officeDocument/2006/relationships/hyperlink" Target="https://www.test.lavrpack.ru/catalog/?product=f1131815-ca66-11ee-a0ad-00e01a6800eb%233d6ebc5f-ca67-11ee-a0ad-00e01a6800eb" TargetMode="External"/><Relationship Id="rId_hyperlink_498" Type="http://schemas.openxmlformats.org/officeDocument/2006/relationships/hyperlink" Target="https://www.test.lavrpack.ru/catalog/?product=f1131815-ca66-11ee-a0ad-00e01a6800eb%2365c99084-ca67-11ee-a0ad-00e01a6800eb" TargetMode="External"/><Relationship Id="rId_hyperlink_499" Type="http://schemas.openxmlformats.org/officeDocument/2006/relationships/hyperlink" Target="https://www.test.lavrpack.ru/catalog/?product=f1131815-ca66-11ee-a0ad-00e01a6800eb%23db3f9c30-9680-11ef-ab37-22344d083d2c" TargetMode="External"/><Relationship Id="rId_hyperlink_500" Type="http://schemas.openxmlformats.org/officeDocument/2006/relationships/hyperlink" Target="https://www.test.lavrpack.ru/catalog/?product=f1131815-ca66-11ee-a0ad-00e01a6800eb%23ef62bfd3-9680-11ef-ab37-22344d083d2c" TargetMode="External"/><Relationship Id="rId_hyperlink_501" Type="http://schemas.openxmlformats.org/officeDocument/2006/relationships/hyperlink" Target="https://www.test.lavrpack.ru/catalog/?product=c689c5d4-ab81-11ed-ba70-00e01a6800eb%233c036f2a-ab82-11ed-ba70-00e01a6800eb" TargetMode="External"/><Relationship Id="rId_hyperlink_502" Type="http://schemas.openxmlformats.org/officeDocument/2006/relationships/hyperlink" Target="https://www.test.lavrpack.ru/catalog/?product=c689c5d4-ab81-11ed-ba70-00e01a6800eb%234eaa0e20-ab86-11ed-ba70-00e01a6800eb" TargetMode="External"/><Relationship Id="rId_hyperlink_503" Type="http://schemas.openxmlformats.org/officeDocument/2006/relationships/hyperlink" Target="https://www.test.lavrpack.ru/catalog/?product=c689c5d4-ab81-11ed-ba70-00e01a6800eb%23f3a6f105-ab85-11ed-ba70-00e01a6800eb" TargetMode="External"/><Relationship Id="rId_hyperlink_504" Type="http://schemas.openxmlformats.org/officeDocument/2006/relationships/hyperlink" Target="https://www.test.lavrpack.ru/catalog/?product=628705b7-31fa-11ee-9127-00e01a6800eb%23142189b1-31fc-11ee-9127-00e01a6800eb" TargetMode="External"/><Relationship Id="rId_hyperlink_505" Type="http://schemas.openxmlformats.org/officeDocument/2006/relationships/hyperlink" Target="https://www.test.lavrpack.ru/catalog/?product=628705b7-31fa-11ee-9127-00e01a6800eb%23e9945489-31fb-11ee-9127-00e01a6800eb" TargetMode="External"/><Relationship Id="rId_hyperlink_506" Type="http://schemas.openxmlformats.org/officeDocument/2006/relationships/hyperlink" Target="https://www.test.lavrpack.ru/catalog/?product=891c3b99-d6e3-11ee-a0ad-00e01a6800eb%23ab990b71-d6e3-11ee-a0ad-00e01a6800eb" TargetMode="External"/><Relationship Id="rId_hyperlink_507" Type="http://schemas.openxmlformats.org/officeDocument/2006/relationships/hyperlink" Target="https://www.test.lavrpack.ru/catalog/?product=891c3b99-d6e3-11ee-a0ad-00e01a6800eb%23b58024f5-d6e3-11ee-a0ad-00e01a6800eb" TargetMode="External"/><Relationship Id="rId_hyperlink_508" Type="http://schemas.openxmlformats.org/officeDocument/2006/relationships/hyperlink" Target="https://www.test.lavrpack.ru/catalog/?product=891c3b99-d6e3-11ee-a0ad-00e01a6800eb%23be3b5116-d6e3-11ee-a0ad-00e01a6800eb" TargetMode="External"/><Relationship Id="rId_hyperlink_509" Type="http://schemas.openxmlformats.org/officeDocument/2006/relationships/hyperlink" Target="https://www.test.lavrpack.ru/catalog/?product=891c3b99-d6e3-11ee-a0ad-00e01a6800eb%23a040fcb2-d6e3-11ee-a0ad-00e01a6800eb" TargetMode="External"/><Relationship Id="rId_hyperlink_510" Type="http://schemas.openxmlformats.org/officeDocument/2006/relationships/hyperlink" Target="https://www.test.lavrpack.ru/catalog/?product=891c3b99-d6e3-11ee-a0ad-00e01a6800eb%23c8f18252-d6e3-11ee-a0ad-00e01a6800eb" TargetMode="External"/><Relationship Id="rId_hyperlink_511" Type="http://schemas.openxmlformats.org/officeDocument/2006/relationships/hyperlink" Target="https://www.test.lavrpack.ru/catalog/?product=93c6080a-d6e2-11ee-a0ad-00e01a6800eb%23cbda1310-d6e2-11ee-a0ad-00e01a6800eb" TargetMode="External"/><Relationship Id="rId_hyperlink_512" Type="http://schemas.openxmlformats.org/officeDocument/2006/relationships/hyperlink" Target="https://www.test.lavrpack.ru/catalog/?product=93c6080a-d6e2-11ee-a0ad-00e01a6800eb%23bb6e54ec-d6e2-11ee-a0ad-00e01a6800eb" TargetMode="External"/><Relationship Id="rId_hyperlink_513" Type="http://schemas.openxmlformats.org/officeDocument/2006/relationships/hyperlink" Target="https://www.test.lavrpack.ru/catalog/?product=d19a7685-d6db-11ee-a0ad-00e01a6800eb%2301b80024-d6df-11ee-a0ad-00e01a6800eb" TargetMode="External"/><Relationship Id="rId_hyperlink_514" Type="http://schemas.openxmlformats.org/officeDocument/2006/relationships/hyperlink" Target="https://www.test.lavrpack.ru/catalog/?product=d19a7685-d6db-11ee-a0ad-00e01a6800eb%234c5da74b-d6df-11ee-a0ad-00e01a6800eb" TargetMode="External"/><Relationship Id="rId_hyperlink_515" Type="http://schemas.openxmlformats.org/officeDocument/2006/relationships/hyperlink" Target="https://www.test.lavrpack.ru/catalog/?product=d19a7685-d6db-11ee-a0ad-00e01a6800eb%2309f764cb-d6df-11ee-a0ad-00e01a6800eb" TargetMode="External"/><Relationship Id="rId_hyperlink_516" Type="http://schemas.openxmlformats.org/officeDocument/2006/relationships/hyperlink" Target="https://www.test.lavrpack.ru/catalog/?product=d19a7685-d6db-11ee-a0ad-00e01a6800eb%2332c47af9-d6df-11ee-a0ad-00e01a6800eb" TargetMode="External"/><Relationship Id="rId_hyperlink_517" Type="http://schemas.openxmlformats.org/officeDocument/2006/relationships/hyperlink" Target="https://www.test.lavrpack.ru/catalog/?product=eb2c00ad-d6da-11ee-a0ad-00e01a6800eb%2340264095-d6db-11ee-a0ad-00e01a6800eb" TargetMode="External"/><Relationship Id="rId_hyperlink_518" Type="http://schemas.openxmlformats.org/officeDocument/2006/relationships/hyperlink" Target="https://www.test.lavrpack.ru/catalog/?product=eb2c00ad-d6da-11ee-a0ad-00e01a6800eb%232727cdb5-d6db-11ee-a0ad-00e01a6800eb" TargetMode="External"/><Relationship Id="rId_hyperlink_519" Type="http://schemas.openxmlformats.org/officeDocument/2006/relationships/hyperlink" Target="https://www.test.lavrpack.ru/catalog/?product=eb2c00ad-d6da-11ee-a0ad-00e01a6800eb%230e37a325-d6db-11ee-a0ad-00e01a6800eb" TargetMode="External"/><Relationship Id="rId_hyperlink_520" Type="http://schemas.openxmlformats.org/officeDocument/2006/relationships/hyperlink" Target="https://www.test.lavrpack.ru/catalog/?product=eb2c00ad-d6da-11ee-a0ad-00e01a6800eb%231e54d3d0-d6db-11ee-a0ad-00e01a6800eb" TargetMode="External"/><Relationship Id="rId_hyperlink_521" Type="http://schemas.openxmlformats.org/officeDocument/2006/relationships/hyperlink" Target="https://www.test.lavrpack.ru/catalog/?product=42fa6773-d6c6-11ee-a0ad-00e01a6800eb%236aa77749-d6c6-11ee-a0ad-00e01a6800eb" TargetMode="External"/><Relationship Id="rId_hyperlink_522" Type="http://schemas.openxmlformats.org/officeDocument/2006/relationships/hyperlink" Target="https://www.test.lavrpack.ru/catalog/?product=42fa6773-d6c6-11ee-a0ad-00e01a6800eb%239b0fb2f3-d6c6-11ee-a0ad-00e01a6800eb" TargetMode="External"/><Relationship Id="rId_hyperlink_523" Type="http://schemas.openxmlformats.org/officeDocument/2006/relationships/hyperlink" Target="https://www.test.lavrpack.ru/catalog/?product=42fa6773-d6c6-11ee-a0ad-00e01a6800eb%2353dd2a52-d6c6-11ee-a0ad-00e01a6800eb" TargetMode="External"/><Relationship Id="rId_hyperlink_524" Type="http://schemas.openxmlformats.org/officeDocument/2006/relationships/hyperlink" Target="https://www.test.lavrpack.ru/catalog/?product=42fa6773-d6c6-11ee-a0ad-00e01a6800eb%23926eb5e6-d6c6-11ee-a0ad-00e01a6800eb" TargetMode="External"/><Relationship Id="rId_hyperlink_525" Type="http://schemas.openxmlformats.org/officeDocument/2006/relationships/hyperlink" Target="https://www.test.lavrpack.ru/catalog/?product=42fa6773-d6c6-11ee-a0ad-00e01a6800eb%2378fe00f8-d6c6-11ee-a0ad-00e01a6800eb" TargetMode="External"/><Relationship Id="rId_hyperlink_526" Type="http://schemas.openxmlformats.org/officeDocument/2006/relationships/hyperlink" Target="https://www.test.lavrpack.ru/catalog/?product=42fa6773-d6c6-11ee-a0ad-00e01a6800eb%237dcf87be-d6c7-11ee-a0ad-00e01a6800eb" TargetMode="External"/><Relationship Id="rId_hyperlink_527" Type="http://schemas.openxmlformats.org/officeDocument/2006/relationships/hyperlink" Target="https://www.test.lavrpack.ru/catalog/?product=56c0f84f-d6c5-11ee-a0ad-00e01a6800eb%23a2e83e54-d6c5-11ee-a0ad-00e01a6800eb" TargetMode="External"/><Relationship Id="rId_hyperlink_528" Type="http://schemas.openxmlformats.org/officeDocument/2006/relationships/hyperlink" Target="https://www.test.lavrpack.ru/catalog/?product=56c0f84f-d6c5-11ee-a0ad-00e01a6800eb%2395dc93b3-d6c5-11ee-a0ad-00e01a6800eb" TargetMode="External"/><Relationship Id="rId_hyperlink_529" Type="http://schemas.openxmlformats.org/officeDocument/2006/relationships/hyperlink" Target="https://www.test.lavrpack.ru/catalog/?product=56c0f84f-d6c5-11ee-a0ad-00e01a6800eb%238c016111-d6c5-11ee-a0ad-00e01a6800eb" TargetMode="External"/><Relationship Id="rId_hyperlink_530" Type="http://schemas.openxmlformats.org/officeDocument/2006/relationships/hyperlink" Target="https://www.test.lavrpack.ru/catalog/?product=2d5a8e1c-d6c3-11ee-a0ad-00e01a6800eb%23850e4134-d6c3-11ee-a0ad-00e01a6800eb" TargetMode="External"/><Relationship Id="rId_hyperlink_531" Type="http://schemas.openxmlformats.org/officeDocument/2006/relationships/hyperlink" Target="https://www.test.lavrpack.ru/catalog/?product=2d5a8e1c-d6c3-11ee-a0ad-00e01a6800eb%23ba216fd0-d6c3-11ee-a0ad-00e01a6800eb" TargetMode="External"/><Relationship Id="rId_hyperlink_532" Type="http://schemas.openxmlformats.org/officeDocument/2006/relationships/hyperlink" Target="https://www.test.lavrpack.ru/catalog/?product=2d5a8e1c-d6c3-11ee-a0ad-00e01a6800eb%23684e2266-d6c3-11ee-a0ad-00e01a6800eb" TargetMode="External"/><Relationship Id="rId_hyperlink_533" Type="http://schemas.openxmlformats.org/officeDocument/2006/relationships/hyperlink" Target="https://www.test.lavrpack.ru/catalog/?product=0d2243c0-95f9-11ec-b742-0cb6d2d05b37" TargetMode="External"/><Relationship Id="rId_hyperlink_534" Type="http://schemas.openxmlformats.org/officeDocument/2006/relationships/hyperlink" Target="https://www.test.lavrpack.ru/catalog/?product=5659233c-d6c2-11ee-a0ad-00e01a6800eb%23a3eefd2b-d6c2-11ee-a0ad-00e01a6800eb" TargetMode="External"/><Relationship Id="rId_hyperlink_535" Type="http://schemas.openxmlformats.org/officeDocument/2006/relationships/hyperlink" Target="https://www.test.lavrpack.ru/catalog/?product=5659233c-d6c2-11ee-a0ad-00e01a6800eb%239a91f389-d6c2-11ee-a0ad-00e01a6800eb" TargetMode="External"/><Relationship Id="rId_hyperlink_536" Type="http://schemas.openxmlformats.org/officeDocument/2006/relationships/hyperlink" Target="https://www.test.lavrpack.ru/catalog/?product=5659233c-d6c2-11ee-a0ad-00e01a6800eb%2364ce9f06-d6c2-11ee-a0ad-00e01a6800eb" TargetMode="External"/><Relationship Id="rId_hyperlink_537" Type="http://schemas.openxmlformats.org/officeDocument/2006/relationships/hyperlink" Target="https://www.test.lavrpack.ru/catalog/?product=5659233c-d6c2-11ee-a0ad-00e01a6800eb%2394786cc3-d6c2-11ee-a0ad-00e01a6800eb" TargetMode="External"/><Relationship Id="rId_hyperlink_538" Type="http://schemas.openxmlformats.org/officeDocument/2006/relationships/hyperlink" Target="https://www.test.lavrpack.ru/catalog/?product=5659233c-d6c2-11ee-a0ad-00e01a6800eb%236c3c8a90-d6c2-11ee-a0ad-00e01a6800eb" TargetMode="External"/><Relationship Id="rId_hyperlink_539" Type="http://schemas.openxmlformats.org/officeDocument/2006/relationships/hyperlink" Target="https://www.test.lavrpack.ru/catalog/?product=5659233c-d6c2-11ee-a0ad-00e01a6800eb%2375a57b17-d6c2-11ee-a0ad-00e01a6800eb" TargetMode="External"/><Relationship Id="rId_hyperlink_540" Type="http://schemas.openxmlformats.org/officeDocument/2006/relationships/hyperlink" Target="https://www.test.lavrpack.ru/catalog/?product=5659233c-d6c2-11ee-a0ad-00e01a6800eb%237ffc7547-d6c2-11ee-a0ad-00e01a6800eb" TargetMode="External"/><Relationship Id="rId_hyperlink_541" Type="http://schemas.openxmlformats.org/officeDocument/2006/relationships/hyperlink" Target="https://www.test.lavrpack.ru/catalog/?product=22cf4597-d632-11ee-a0ad-00e01a6800eb%23511d8a6c-d632-11ee-a0ad-00e01a6800eb" TargetMode="External"/><Relationship Id="rId_hyperlink_542" Type="http://schemas.openxmlformats.org/officeDocument/2006/relationships/hyperlink" Target="https://www.test.lavrpack.ru/catalog/?product=22cf4597-d632-11ee-a0ad-00e01a6800eb%23601d1615-d632-11ee-a0ad-00e01a6800eb" TargetMode="External"/><Relationship Id="rId_hyperlink_543" Type="http://schemas.openxmlformats.org/officeDocument/2006/relationships/hyperlink" Target="https://www.test.lavrpack.ru/catalog/?product=22cf4597-d632-11ee-a0ad-00e01a6800eb%233ee662b3-d632-11ee-a0ad-00e01a6800eb" TargetMode="External"/><Relationship Id="rId_hyperlink_544" Type="http://schemas.openxmlformats.org/officeDocument/2006/relationships/hyperlink" Target="https://www.test.lavrpack.ru/catalog/?product=22cf4597-d632-11ee-a0ad-00e01a6800eb%234a433442-d632-11ee-a0ad-00e01a6800eb" TargetMode="External"/><Relationship Id="rId_hyperlink_545" Type="http://schemas.openxmlformats.org/officeDocument/2006/relationships/hyperlink" Target="https://www.test.lavrpack.ru/catalog/?product=22cf4597-d632-11ee-a0ad-00e01a6800eb%23597be0f1-d632-11ee-a0ad-00e01a6800eb" TargetMode="External"/><Relationship Id="rId_hyperlink_546" Type="http://schemas.openxmlformats.org/officeDocument/2006/relationships/hyperlink" Target="https://www.test.lavrpack.ru/catalog/?product=22cf4597-d632-11ee-a0ad-00e01a6800eb%23511d8a7c-d632-11ee-a0ad-00e01a6800eb" TargetMode="External"/><Relationship Id="rId_hyperlink_547" Type="http://schemas.openxmlformats.org/officeDocument/2006/relationships/hyperlink" Target="https://www.test.lavrpack.ru/catalog/?product=22cf4597-d632-11ee-a0ad-00e01a6800eb%2331687605-d632-11ee-a0ad-00e01a6800eb" TargetMode="External"/><Relationship Id="rId_hyperlink_548" Type="http://schemas.openxmlformats.org/officeDocument/2006/relationships/hyperlink" Target="https://www.test.lavrpack.ru/catalog/?product=a6a0de34-d630-11ee-a0ad-00e01a6800eb%23071e05d0-d631-11ee-a0ad-00e01a6800eb" TargetMode="External"/><Relationship Id="rId_hyperlink_549" Type="http://schemas.openxmlformats.org/officeDocument/2006/relationships/hyperlink" Target="https://www.test.lavrpack.ru/catalog/?product=a6a0de34-d630-11ee-a0ad-00e01a6800eb%23ccf0039d-d630-11ee-a0ad-00e01a6800eb" TargetMode="External"/><Relationship Id="rId_hyperlink_550" Type="http://schemas.openxmlformats.org/officeDocument/2006/relationships/hyperlink" Target="https://www.test.lavrpack.ru/catalog/?product=a6a0de34-d630-11ee-a0ad-00e01a6800eb%23e7a2127d-d630-11ee-a0ad-00e01a6800eb" TargetMode="External"/><Relationship Id="rId_hyperlink_551" Type="http://schemas.openxmlformats.org/officeDocument/2006/relationships/hyperlink" Target="https://www.test.lavrpack.ru/catalog/?product=a6a0de34-d630-11ee-a0ad-00e01a6800eb%23eda88e1f-d630-11ee-a0ad-00e01a6800eb" TargetMode="External"/><Relationship Id="rId_hyperlink_552" Type="http://schemas.openxmlformats.org/officeDocument/2006/relationships/hyperlink" Target="https://www.test.lavrpack.ru/catalog/?product=a6a0de34-d630-11ee-a0ad-00e01a6800eb%230e2f1bfe-d631-11ee-a0ad-00e01a6800eb" TargetMode="External"/><Relationship Id="rId_hyperlink_553" Type="http://schemas.openxmlformats.org/officeDocument/2006/relationships/hyperlink" Target="https://www.test.lavrpack.ru/catalog/?product=dd5ca93a-d62d-11ee-a0ad-00e01a6800eb%23ffaea05f-d62d-11ee-a0ad-00e01a6800eb" TargetMode="External"/><Relationship Id="rId_hyperlink_554" Type="http://schemas.openxmlformats.org/officeDocument/2006/relationships/hyperlink" Target="https://www.test.lavrpack.ru/catalog/?product=dd5ca93a-d62d-11ee-a0ad-00e01a6800eb%2319a703ba-d62e-11ee-a0ad-00e01a6800eb" TargetMode="External"/><Relationship Id="rId_hyperlink_555" Type="http://schemas.openxmlformats.org/officeDocument/2006/relationships/hyperlink" Target="https://www.test.lavrpack.ru/catalog/?product=dd5ca93a-d62d-11ee-a0ad-00e01a6800eb%2348274565-d62e-11ee-a0ad-00e01a6800eb" TargetMode="External"/><Relationship Id="rId_hyperlink_556" Type="http://schemas.openxmlformats.org/officeDocument/2006/relationships/hyperlink" Target="https://www.test.lavrpack.ru/catalog/?product=dd5ca93a-d62d-11ee-a0ad-00e01a6800eb%230c375f3f-d62e-11ee-a0ad-00e01a6800eb" TargetMode="External"/><Relationship Id="rId_hyperlink_557" Type="http://schemas.openxmlformats.org/officeDocument/2006/relationships/hyperlink" Target="https://www.test.lavrpack.ru/catalog/?product=dd5ca93a-d62d-11ee-a0ad-00e01a6800eb%2312b7412d-d62e-11ee-a0ad-00e01a6800eb" TargetMode="External"/><Relationship Id="rId_hyperlink_558" Type="http://schemas.openxmlformats.org/officeDocument/2006/relationships/hyperlink" Target="https://www.test.lavrpack.ru/catalog/?product=dd5ca93a-d62d-11ee-a0ad-00e01a6800eb%2320b5b82a-d62e-11ee-a0ad-00e01a6800eb" TargetMode="External"/><Relationship Id="rId_hyperlink_559" Type="http://schemas.openxmlformats.org/officeDocument/2006/relationships/hyperlink" Target="https://www.test.lavrpack.ru/catalog/?product=dd5ca93a-d62d-11ee-a0ad-00e01a6800eb%2327784091-d62e-11ee-a0ad-00e01a6800eb" TargetMode="External"/><Relationship Id="rId_hyperlink_560" Type="http://schemas.openxmlformats.org/officeDocument/2006/relationships/hyperlink" Target="https://www.test.lavrpack.ru/catalog/?product=553bcea1-d623-11ee-a0ad-00e01a6800eb%237caafaaf-d623-11ee-a0ad-00e01a6800eb" TargetMode="External"/><Relationship Id="rId_hyperlink_561" Type="http://schemas.openxmlformats.org/officeDocument/2006/relationships/hyperlink" Target="https://www.test.lavrpack.ru/catalog/?product=553bcea1-d623-11ee-a0ad-00e01a6800eb%2399fc4def-d623-11ee-a0ad-00e01a6800eb" TargetMode="External"/><Relationship Id="rId_hyperlink_562" Type="http://schemas.openxmlformats.org/officeDocument/2006/relationships/hyperlink" Target="https://www.test.lavrpack.ru/catalog/?product=a62a1a21-d622-11ee-a0ad-00e01a6800eb%23e27df9ec-d622-11ee-a0ad-00e01a6800eb" TargetMode="External"/><Relationship Id="rId_hyperlink_563" Type="http://schemas.openxmlformats.org/officeDocument/2006/relationships/hyperlink" Target="https://www.test.lavrpack.ru/catalog/?product=a62a1a21-d622-11ee-a0ad-00e01a6800eb%23ce8c12d3-d622-11ee-a0ad-00e01a6800eb" TargetMode="External"/><Relationship Id="rId_hyperlink_564" Type="http://schemas.openxmlformats.org/officeDocument/2006/relationships/hyperlink" Target="https://www.test.lavrpack.ru/catalog/?product=a62a1a21-d622-11ee-a0ad-00e01a6800eb%23d5392e6b-d622-11ee-a0ad-00e01a6800eb" TargetMode="External"/><Relationship Id="rId_hyperlink_565" Type="http://schemas.openxmlformats.org/officeDocument/2006/relationships/hyperlink" Target="https://www.test.lavrpack.ru/catalog/?product=d429536e-d621-11ee-a0ad-00e01a6800eb%23008adb6a-d622-11ee-a0ad-00e01a6800eb" TargetMode="External"/><Relationship Id="rId_hyperlink_566" Type="http://schemas.openxmlformats.org/officeDocument/2006/relationships/hyperlink" Target="https://www.test.lavrpack.ru/catalog/?product=d429536e-d621-11ee-a0ad-00e01a6800eb%23f8ed546a-d621-11ee-a0ad-00e01a6800eb" TargetMode="External"/><Relationship Id="rId_hyperlink_567" Type="http://schemas.openxmlformats.org/officeDocument/2006/relationships/hyperlink" Target="https://www.test.lavrpack.ru/catalog/?product=d429536e-d621-11ee-a0ad-00e01a6800eb%23ef206a09-d621-11ee-a0ad-00e01a6800eb" TargetMode="External"/><Relationship Id="rId_hyperlink_568" Type="http://schemas.openxmlformats.org/officeDocument/2006/relationships/hyperlink" Target="https://www.test.lavrpack.ru/catalog/?product=d429536e-d621-11ee-a0ad-00e01a6800eb%23008adb7a-d622-11ee-a0ad-00e01a6800eb" TargetMode="External"/><Relationship Id="rId_hyperlink_569" Type="http://schemas.openxmlformats.org/officeDocument/2006/relationships/hyperlink" Target="https://www.test.lavrpack.ru/catalog/?product=da74cf79-d618-11ee-a0ad-00e01a6800eb%23d95a665a-d619-11ee-a0ad-00e01a6800eb" TargetMode="External"/><Relationship Id="rId_hyperlink_570" Type="http://schemas.openxmlformats.org/officeDocument/2006/relationships/hyperlink" Target="https://www.test.lavrpack.ru/catalog/?product=da74cf79-d618-11ee-a0ad-00e01a6800eb%235fd5466d-d619-11ee-a0ad-00e01a6800eb" TargetMode="External"/><Relationship Id="rId_hyperlink_571" Type="http://schemas.openxmlformats.org/officeDocument/2006/relationships/hyperlink" Target="https://www.test.lavrpack.ru/catalog/?product=da74cf79-d618-11ee-a0ad-00e01a6800eb%23ba6ae42a-d619-11ee-a0ad-00e01a6800eb" TargetMode="External"/><Relationship Id="rId_hyperlink_572" Type="http://schemas.openxmlformats.org/officeDocument/2006/relationships/hyperlink" Target="https://www.test.lavrpack.ru/catalog/?product=0ea8300d-1739-11ee-8f7e-00e01a6800eb%23cd021ae1-173a-11ee-8f7e-00e01a6800eb" TargetMode="External"/><Relationship Id="rId_hyperlink_573" Type="http://schemas.openxmlformats.org/officeDocument/2006/relationships/hyperlink" Target="https://www.test.lavrpack.ru/catalog/?product=c02fe162-0939-11ef-9f05-00e01a6800eb%23153d2c39-093a-11ef-9f05-00e01a6800eb" TargetMode="External"/><Relationship Id="rId_hyperlink_574" Type="http://schemas.openxmlformats.org/officeDocument/2006/relationships/hyperlink" Target="https://www.test.lavrpack.ru/catalog/?product=c02fe162-0939-11ef-9f05-00e01a6800eb%2350f652c9-093a-11ef-9f05-00e01a6800eb" TargetMode="External"/><Relationship Id="rId_hyperlink_575" Type="http://schemas.openxmlformats.org/officeDocument/2006/relationships/hyperlink" Target="https://www.test.lavrpack.ru/catalog/?product=c02fe162-0939-11ef-9f05-00e01a6800eb%233dcec015-093a-11ef-9f05-00e01a6800eb" TargetMode="External"/><Relationship Id="rId_hyperlink_576" Type="http://schemas.openxmlformats.org/officeDocument/2006/relationships/hyperlink" Target="https://www.test.lavrpack.ru/catalog/?product=c02fe162-0939-11ef-9f05-00e01a6800eb%23f02f6095-0939-11ef-9f05-00e01a6800eb" TargetMode="External"/><Relationship Id="rId_hyperlink_577" Type="http://schemas.openxmlformats.org/officeDocument/2006/relationships/hyperlink" Target="https://www.test.lavrpack.ru/catalog/?product=c02fe162-0939-11ef-9f05-00e01a6800eb%2326f3c9a3-093a-11ef-9f05-00e01a6800eb" TargetMode="External"/><Relationship Id="rId_hyperlink_578" Type="http://schemas.openxmlformats.org/officeDocument/2006/relationships/hyperlink" Target="https://www.test.lavrpack.ru/catalog/?product=c02fe162-0939-11ef-9f05-00e01a6800eb%2330f2b0ea-093a-11ef-9f05-00e01a6800eb" TargetMode="External"/><Relationship Id="rId_hyperlink_579" Type="http://schemas.openxmlformats.org/officeDocument/2006/relationships/hyperlink" Target="https://www.test.lavrpack.ru/catalog/?product=c02fe162-0939-11ef-9f05-00e01a6800eb%23d2f83d0b-0939-11ef-9f05-00e01a6800eb" TargetMode="External"/><Relationship Id="rId_hyperlink_580" Type="http://schemas.openxmlformats.org/officeDocument/2006/relationships/hyperlink" Target="https://www.test.lavrpack.ru/catalog/?product=c02fe162-0939-11ef-9f05-00e01a6800eb%23daf299a4-0939-11ef-9f05-00e01a6800eb" TargetMode="External"/><Relationship Id="rId_hyperlink_581" Type="http://schemas.openxmlformats.org/officeDocument/2006/relationships/hyperlink" Target="https://www.test.lavrpack.ru/catalog/?product=c02fe162-0939-11ef-9f05-00e01a6800eb%231e637647-093a-11ef-9f05-00e01a6800eb" TargetMode="External"/><Relationship Id="rId_hyperlink_582" Type="http://schemas.openxmlformats.org/officeDocument/2006/relationships/hyperlink" Target="https://www.test.lavrpack.ru/catalog/?product=068847ea-d198-11ef-ab3c-22344d083d2c%23675b26c9-d198-11ef-ab3c-22344d083d2c" TargetMode="External"/><Relationship Id="rId_hyperlink_583" Type="http://schemas.openxmlformats.org/officeDocument/2006/relationships/hyperlink" Target="https://www.test.lavrpack.ru/catalog/?product=068847ea-d198-11ef-ab3c-22344d083d2c%2339162cb7-d198-11ef-ab3c-22344d083d2c" TargetMode="External"/><Relationship Id="rId_hyperlink_584" Type="http://schemas.openxmlformats.org/officeDocument/2006/relationships/hyperlink" Target="https://www.test.lavrpack.ru/catalog/?product=068847ea-d198-11ef-ab3c-22344d083d2c%23460ad6a5-d198-11ef-ab3c-22344d083d2c" TargetMode="External"/><Relationship Id="rId_hyperlink_585" Type="http://schemas.openxmlformats.org/officeDocument/2006/relationships/hyperlink" Target="https://www.test.lavrpack.ru/catalog/?product=068847ea-d198-11ef-ab3c-22344d083d2c%2360cbb7f4-d198-11ef-ab3c-22344d083d2c" TargetMode="External"/><Relationship Id="rId_hyperlink_586" Type="http://schemas.openxmlformats.org/officeDocument/2006/relationships/hyperlink" Target="https://www.test.lavrpack.ru/catalog/?product=068847ea-d198-11ef-ab3c-22344d083d2c%233f796939-d198-11ef-ab3c-22344d083d2c" TargetMode="External"/><Relationship Id="rId_hyperlink_587" Type="http://schemas.openxmlformats.org/officeDocument/2006/relationships/hyperlink" Target="https://www.test.lavrpack.ru/catalog/?product=068847ea-d198-11ef-ab3c-22344d083d2c%237686173e-d198-11ef-ab3c-22344d083d2c" TargetMode="External"/><Relationship Id="rId_hyperlink_588" Type="http://schemas.openxmlformats.org/officeDocument/2006/relationships/hyperlink" Target="https://www.test.lavrpack.ru/catalog/?product=068847ea-d198-11ef-ab3c-22344d083d2c%23534c28af-d198-11ef-ab3c-22344d083d2c" TargetMode="External"/><Relationship Id="rId_hyperlink_589" Type="http://schemas.openxmlformats.org/officeDocument/2006/relationships/hyperlink" Target="https://www.test.lavrpack.ru/catalog/?product=068847ea-d198-11ef-ab3c-22344d083d2c%236fe77eb3-d198-11ef-ab3c-22344d083d2c" TargetMode="External"/><Relationship Id="rId_hyperlink_590" Type="http://schemas.openxmlformats.org/officeDocument/2006/relationships/hyperlink" Target="https://www.test.lavrpack.ru/catalog/?product=5dce4710-1731-11ee-8f7e-00e01a6800eb%23731e1913-1731-11ee-8f7e-00e01a6800eb" TargetMode="External"/><Relationship Id="rId_hyperlink_591" Type="http://schemas.openxmlformats.org/officeDocument/2006/relationships/hyperlink" Target="https://www.test.lavrpack.ru/catalog/?product=937a0d63-c9a2-11ee-a0ad-00e01a6800eb%23d50ed6e2-c9a2-11ee-a0ad-00e01a6800eb" TargetMode="External"/><Relationship Id="rId_hyperlink_592" Type="http://schemas.openxmlformats.org/officeDocument/2006/relationships/hyperlink" Target="https://www.test.lavrpack.ru/catalog/?product=c7d1f17a-92e5-11f0-ab48-22344d083d2c%23faced264-92e5-11f0-ab48-22344d083d2c" TargetMode="External"/><Relationship Id="rId_hyperlink_593" Type="http://schemas.openxmlformats.org/officeDocument/2006/relationships/hyperlink" Target="https://www.test.lavrpack.ru/catalog/?product=c7d1f17a-92e5-11f0-ab48-22344d083d2c%230996ee9b-92e6-11f0-ab48-22344d083d2c" TargetMode="External"/><Relationship Id="rId_hyperlink_594" Type="http://schemas.openxmlformats.org/officeDocument/2006/relationships/hyperlink" Target="https://www.test.lavrpack.ru/catalog/?product=5e124fcb-ac37-11ed-ba70-00e01a6800eb%239c7d406d-ac3c-11ed-ba70-00e01a6800eb" TargetMode="External"/><Relationship Id="rId_hyperlink_595" Type="http://schemas.openxmlformats.org/officeDocument/2006/relationships/hyperlink" Target="https://www.test.lavrpack.ru/catalog/?product=73e8c84d-ac32-11ed-ba70-00e01a6800eb%23b4b328c7-ac35-11ed-ba70-00e01a6800eb" TargetMode="External"/><Relationship Id="rId_hyperlink_596" Type="http://schemas.openxmlformats.org/officeDocument/2006/relationships/hyperlink" Target="https://www.test.lavrpack.ru/catalog/?product=73e8c84d-ac32-11ed-ba70-00e01a6800eb%2334637e22-ac33-11ed-ba70-00e01a6800eb" TargetMode="External"/><Relationship Id="rId_hyperlink_597" Type="http://schemas.openxmlformats.org/officeDocument/2006/relationships/hyperlink" Target="https://www.test.lavrpack.ru/catalog/?product=73e8c84d-ac32-11ed-ba70-00e01a6800eb%237e97ee47-ac33-11ed-ba70-00e01a6800eb" TargetMode="External"/><Relationship Id="rId_hyperlink_598" Type="http://schemas.openxmlformats.org/officeDocument/2006/relationships/hyperlink" Target="https://www.test.lavrpack.ru/catalog/?product=73e8c84d-ac32-11ed-ba70-00e01a6800eb%235f6102cf-ac33-11ed-ba70-00e01a6800eb" TargetMode="External"/><Relationship Id="rId_hyperlink_599" Type="http://schemas.openxmlformats.org/officeDocument/2006/relationships/hyperlink" Target="https://www.test.lavrpack.ru/catalog/?product=73e8c84d-ac32-11ed-ba70-00e01a6800eb%23e3e87a14-ac35-11ed-ba70-00e01a6800eb" TargetMode="External"/><Relationship Id="rId_hyperlink_600" Type="http://schemas.openxmlformats.org/officeDocument/2006/relationships/hyperlink" Target="https://www.test.lavrpack.ru/catalog/?product=73e8c84d-ac32-11ed-ba70-00e01a6800eb%23d03e84de-ac32-11ed-ba70-00e01a6800eb" TargetMode="External"/><Relationship Id="rId_hyperlink_601" Type="http://schemas.openxmlformats.org/officeDocument/2006/relationships/hyperlink" Target="https://www.test.lavrpack.ru/catalog/?product=73e8c84d-ac32-11ed-ba70-00e01a6800eb%2350ad552c-ac33-11ed-ba70-00e01a6800eb" TargetMode="External"/><Relationship Id="rId_hyperlink_602" Type="http://schemas.openxmlformats.org/officeDocument/2006/relationships/hyperlink" Target="https://www.test.lavrpack.ru/catalog/?product=73e8c84d-ac32-11ed-ba70-00e01a6800eb%239772ac93-ac33-11ed-ba70-00e01a6800eb" TargetMode="External"/><Relationship Id="rId_hyperlink_603" Type="http://schemas.openxmlformats.org/officeDocument/2006/relationships/hyperlink" Target="https://www.test.lavrpack.ru/catalog/?product=67e65602-ac62-11ed-ba70-00e01a6800eb%23ef3f6f20-ac62-11ed-ba70-00e01a6800eb" TargetMode="External"/><Relationship Id="rId_hyperlink_604" Type="http://schemas.openxmlformats.org/officeDocument/2006/relationships/hyperlink" Target="https://www.test.lavrpack.ru/catalog/?product=44d3d5ee-ca38-11ee-a0ad-00e01a6800eb%236a5fca6b-ca38-11ee-a0ad-00e01a6800eb" TargetMode="External"/><Relationship Id="rId_hyperlink_605" Type="http://schemas.openxmlformats.org/officeDocument/2006/relationships/hyperlink" Target="https://www.test.lavrpack.ru/catalog/?product=44d3d5ee-ca38-11ee-a0ad-00e01a6800eb%238e016376-ca38-11ee-a0ad-00e01a6800eb" TargetMode="External"/><Relationship Id="rId_hyperlink_606" Type="http://schemas.openxmlformats.org/officeDocument/2006/relationships/hyperlink" Target="https://www.test.lavrpack.ru/catalog/?product=44d3d5ee-ca38-11ee-a0ad-00e01a6800eb%23dc214d34-ca38-11ee-a0ad-00e01a6800eb" TargetMode="External"/><Relationship Id="rId_hyperlink_607" Type="http://schemas.openxmlformats.org/officeDocument/2006/relationships/hyperlink" Target="https://www.test.lavrpack.ru/catalog/?product=44d3d5ee-ca38-11ee-a0ad-00e01a6800eb%230c78df65-ca39-11ee-a0ad-00e01a6800eb" TargetMode="External"/><Relationship Id="rId_hyperlink_608" Type="http://schemas.openxmlformats.org/officeDocument/2006/relationships/hyperlink" Target="https://www.test.lavrpack.ru/catalog/?product=44d3d5ee-ca38-11ee-a0ad-00e01a6800eb%2308a113ca-4d13-11f0-ab41-22344d083d2c" TargetMode="External"/><Relationship Id="rId_hyperlink_609" Type="http://schemas.openxmlformats.org/officeDocument/2006/relationships/hyperlink" Target="https://www.test.lavrpack.ru/catalog/?product=44d3d5ee-ca38-11ee-a0ad-00e01a6800eb%23b2532265-ca38-11ee-a0ad-00e01a6800eb" TargetMode="External"/><Relationship Id="rId_hyperlink_610" Type="http://schemas.openxmlformats.org/officeDocument/2006/relationships/hyperlink" Target="https://www.test.lavrpack.ru/catalog/?product=44d3d5ee-ca38-11ee-a0ad-00e01a6800eb%23d19ab77e-ca38-11ee-a0ad-00e01a6800eb" TargetMode="External"/><Relationship Id="rId_hyperlink_611" Type="http://schemas.openxmlformats.org/officeDocument/2006/relationships/hyperlink" Target="https://www.test.lavrpack.ru/catalog/?product=44d3d5ee-ca38-11ee-a0ad-00e01a6800eb%235a7496a5-ca38-11ee-a0ad-00e01a6800eb" TargetMode="External"/><Relationship Id="rId_hyperlink_612" Type="http://schemas.openxmlformats.org/officeDocument/2006/relationships/hyperlink" Target="https://www.test.lavrpack.ru/catalog/?product=44d3d5ee-ca38-11ee-a0ad-00e01a6800eb%2363a6c785-ca38-11ee-a0ad-00e01a6800eb" TargetMode="External"/><Relationship Id="rId_hyperlink_613" Type="http://schemas.openxmlformats.org/officeDocument/2006/relationships/hyperlink" Target="https://www.test.lavrpack.ru/catalog/?product=44d3d5ee-ca38-11ee-a0ad-00e01a6800eb%23ac21cdee-ca38-11ee-a0ad-00e01a6800eb" TargetMode="External"/><Relationship Id="rId_hyperlink_614" Type="http://schemas.openxmlformats.org/officeDocument/2006/relationships/hyperlink" Target="https://www.test.lavrpack.ru/catalog/?product=44d3d5ee-ca38-11ee-a0ad-00e01a6800eb%23bf1e87de-ca38-11ee-a0ad-00e01a6800eb" TargetMode="External"/><Relationship Id="rId_hyperlink_615" Type="http://schemas.openxmlformats.org/officeDocument/2006/relationships/hyperlink" Target="https://www.test.lavrpack.ru/catalog/?product=44d3d5ee-ca38-11ee-a0ad-00e01a6800eb%23a9f3c346-a541-11f1-ab51-22344d083d2c" TargetMode="External"/><Relationship Id="rId_hyperlink_616" Type="http://schemas.openxmlformats.org/officeDocument/2006/relationships/hyperlink" Target="https://www.test.lavrpack.ru/catalog/?product=44d3d5ee-ca38-11ee-a0ad-00e01a6800eb%23c02cb3b1-a541-11f1-ab51-22344d083d2c" TargetMode="External"/><Relationship Id="rId_hyperlink_617" Type="http://schemas.openxmlformats.org/officeDocument/2006/relationships/hyperlink" Target="https://www.test.lavrpack.ru/catalog/?product=44d3d5ee-ca38-11ee-a0ad-00e01a6800eb%235411455f-ca38-11ee-a0ad-00e01a6800eb" TargetMode="External"/><Relationship Id="rId_hyperlink_618" Type="http://schemas.openxmlformats.org/officeDocument/2006/relationships/hyperlink" Target="https://www.test.lavrpack.ru/catalog/?product=44d3d5ee-ca38-11ee-a0ad-00e01a6800eb%23a203f4c4-ca38-11ee-a0ad-00e01a6800eb" TargetMode="External"/><Relationship Id="rId_hyperlink_619" Type="http://schemas.openxmlformats.org/officeDocument/2006/relationships/hyperlink" Target="https://www.test.lavrpack.ru/catalog/?product=9c173049-4a1b-11f1-ab50-22344d083d2c%23494c0326-a53f-11f1-ab51-22344d083d2c" TargetMode="External"/><Relationship Id="rId_hyperlink_620" Type="http://schemas.openxmlformats.org/officeDocument/2006/relationships/hyperlink" Target="https://www.test.lavrpack.ru/catalog/?product=9c173049-4a1b-11f1-ab50-22344d083d2c%232f61119b-a53f-11f1-ab51-22344d083d2c" TargetMode="External"/><Relationship Id="rId_hyperlink_621" Type="http://schemas.openxmlformats.org/officeDocument/2006/relationships/hyperlink" Target="https://www.test.lavrpack.ru/catalog/?product=9c173049-4a1b-11f1-ab50-22344d083d2c%23a8c93df6-4a1b-11f1-ab50-22344d083d2c" TargetMode="External"/><Relationship Id="rId_hyperlink_622" Type="http://schemas.openxmlformats.org/officeDocument/2006/relationships/hyperlink" Target="https://www.test.lavrpack.ru/catalog/?product=9c173049-4a1b-11f1-ab50-22344d083d2c%2336baec9d-a53f-11f1-ab51-22344d083d2c" TargetMode="External"/><Relationship Id="rId_hyperlink_623" Type="http://schemas.openxmlformats.org/officeDocument/2006/relationships/hyperlink" Target="https://www.test.lavrpack.ru/catalog/?product=9c173049-4a1b-11f1-ab50-22344d083d2c%235c5d901c-a53f-11f1-ab51-22344d083d2c" TargetMode="External"/><Relationship Id="rId_hyperlink_624" Type="http://schemas.openxmlformats.org/officeDocument/2006/relationships/hyperlink" Target="https://www.test.lavrpack.ru/catalog/?product=9c173049-4a1b-11f1-ab50-22344d083d2c%23b6777291-4a1b-11f1-ab50-22344d083d2c" TargetMode="External"/><Relationship Id="rId_hyperlink_625" Type="http://schemas.openxmlformats.org/officeDocument/2006/relationships/hyperlink" Target="https://www.test.lavrpack.ru/catalog/?product=9c173049-4a1b-11f1-ab50-22344d083d2c%2350086a78-a53f-11f1-ab51-22344d083d2c" TargetMode="External"/><Relationship Id="rId_hyperlink_626" Type="http://schemas.openxmlformats.org/officeDocument/2006/relationships/hyperlink" Target="https://www.test.lavrpack.ru/catalog/?product=9c173049-4a1b-11f1-ab50-22344d083d2c%233cd98902-a53f-11f1-ab51-22344d083d2c" TargetMode="External"/><Relationship Id="rId_hyperlink_627" Type="http://schemas.openxmlformats.org/officeDocument/2006/relationships/hyperlink" Target="https://www.test.lavrpack.ru/catalog/?product=ce981a64-bba4-11ef-ab3b-22344d083d2c%23e2a7c422-bba4-11ef-ab3b-22344d083d2c" TargetMode="External"/><Relationship Id="rId_hyperlink_628" Type="http://schemas.openxmlformats.org/officeDocument/2006/relationships/hyperlink" Target="https://www.test.lavrpack.ru/catalog/?product=44c82c41-ac58-11ed-ba70-00e01a6800eb%2316e5a656-ac5b-11ed-ba70-00e01a6800eb" TargetMode="External"/><Relationship Id="rId_hyperlink_629" Type="http://schemas.openxmlformats.org/officeDocument/2006/relationships/hyperlink" Target="https://www.test.lavrpack.ru/catalog/?product=44c82c41-ac58-11ed-ba70-00e01a6800eb%239a267ca3-ac58-11ed-ba70-00e01a6800eb" TargetMode="External"/><Relationship Id="rId_hyperlink_630" Type="http://schemas.openxmlformats.org/officeDocument/2006/relationships/hyperlink" Target="https://www.test.lavrpack.ru/catalog/?product=44c82c41-ac58-11ed-ba70-00e01a6800eb%23dee1ce3d-ac5a-11ed-ba70-00e01a6800eb" TargetMode="External"/><Relationship Id="rId_hyperlink_631" Type="http://schemas.openxmlformats.org/officeDocument/2006/relationships/hyperlink" Target="https://www.test.lavrpack.ru/catalog/?product=e9098bd2-c975-11ee-a0ad-00e01a6800eb%23f0fcc46c-c975-11ee-a0ad-00e01a6800eb" TargetMode="External"/><Relationship Id="rId_hyperlink_632" Type="http://schemas.openxmlformats.org/officeDocument/2006/relationships/hyperlink" Target="https://www.test.lavrpack.ru/catalog/?product=e9098bd2-c975-11ee-a0ad-00e01a6800eb%23d8a81fc8-3d2d-11f0-ab41-22344d083d2c" TargetMode="External"/><Relationship Id="rId_hyperlink_633" Type="http://schemas.openxmlformats.org/officeDocument/2006/relationships/hyperlink" Target="https://www.test.lavrpack.ru/catalog/?product=e9098bd2-c975-11ee-a0ad-00e01a6800eb%23f0fcc45c-c975-11ee-a0ad-00e01a6800eb" TargetMode="External"/><Relationship Id="rId_hyperlink_634" Type="http://schemas.openxmlformats.org/officeDocument/2006/relationships/hyperlink" Target="https://www.test.lavrpack.ru/catalog/?product=84d0e099-c973-11ee-a0ad-00e01a6800eb%238d49e43a-c974-11ee-a0ad-00e01a6800eb" TargetMode="External"/><Relationship Id="rId_hyperlink_635" Type="http://schemas.openxmlformats.org/officeDocument/2006/relationships/hyperlink" Target="https://www.test.lavrpack.ru/catalog/?product=84d0e099-c973-11ee-a0ad-00e01a6800eb%239d45c1b1-c974-11ee-a0ad-00e01a6800eb" TargetMode="External"/><Relationship Id="rId_hyperlink_636" Type="http://schemas.openxmlformats.org/officeDocument/2006/relationships/hyperlink" Target="https://www.test.lavrpack.ru/catalog/?product=e888838b-c974-11ee-a0ad-00e01a6800eb%231bd76cb3-c975-11ee-a0ad-00e01a6800eb" TargetMode="External"/><Relationship Id="rId_hyperlink_637" Type="http://schemas.openxmlformats.org/officeDocument/2006/relationships/hyperlink" Target="https://www.test.lavrpack.ru/catalog/?product=e888838b-c974-11ee-a0ad-00e01a6800eb%230eb192f1-c975-11ee-a0ad-00e01a6800eb" TargetMode="External"/><Relationship Id="rId_hyperlink_638" Type="http://schemas.openxmlformats.org/officeDocument/2006/relationships/hyperlink" Target="https://www.test.lavrpack.ru/catalog/?product=e888838b-c974-11ee-a0ad-00e01a6800eb%2301da46ed-c975-11ee-a0ad-00e01a6800eb" TargetMode="External"/><Relationship Id="rId_hyperlink_639" Type="http://schemas.openxmlformats.org/officeDocument/2006/relationships/hyperlink" Target="https://www.test.lavrpack.ru/catalog/?product=7478621f-2f9a-11ef-843e-00e01a6800eb%237c6dfc09-2f9a-11ef-843e-00e01a6800eb" TargetMode="External"/><Relationship Id="rId_hyperlink_640" Type="http://schemas.openxmlformats.org/officeDocument/2006/relationships/hyperlink" Target="https://www.test.lavrpack.ru/catalog/?product=7478621f-2f9a-11ef-843e-00e01a6800eb%23a28b5cae-6a88-11ef-ab51-1cfd08767542" TargetMode="External"/><Relationship Id="rId_hyperlink_641" Type="http://schemas.openxmlformats.org/officeDocument/2006/relationships/hyperlink" Target="https://www.test.lavrpack.ru/catalog/?product=933921b7-47e8-11ee-a90e-00e01a6800eb%235ea74992-47e9-11ee-a90e-00e01a6800eb" TargetMode="External"/><Relationship Id="rId_hyperlink_642" Type="http://schemas.openxmlformats.org/officeDocument/2006/relationships/hyperlink" Target="https://www.test.lavrpack.ru/catalog/?product=2222195a-901c-11ee-a8ad-00e01a6800eb%237acd5b58-901c-11ee-a8ad-00e01a6800eb" TargetMode="External"/><Relationship Id="rId_hyperlink_643" Type="http://schemas.openxmlformats.org/officeDocument/2006/relationships/hyperlink" Target="https://www.test.lavrpack.ru/catalog/?product=b8ddd166-a8cb-11f0-ab48-22344d083d2c%23c4f24296-a8cb-11f0-ab48-22344d083d2c" TargetMode="External"/><Relationship Id="rId_hyperlink_644" Type="http://schemas.openxmlformats.org/officeDocument/2006/relationships/hyperlink" Target="https://www.test.lavrpack.ru/catalog/?product=1dae4c2a-63d1-11f0-ab47-22344d083d2c%235786ae85-63d1-11f0-ab47-22344d083d2c" TargetMode="External"/><Relationship Id="rId_hyperlink_645" Type="http://schemas.openxmlformats.org/officeDocument/2006/relationships/hyperlink" Target="https://www.test.lavrpack.ru/catalog/?product=1dae4c2a-63d1-11f0-ab47-22344d083d2c%235f5798a9-63d1-11f0-ab47-22344d083d2c" TargetMode="External"/><Relationship Id="rId_hyperlink_646" Type="http://schemas.openxmlformats.org/officeDocument/2006/relationships/hyperlink" Target="https://www.test.lavrpack.ru/catalog/?product=1dae4c2a-63d1-11f0-ab47-22344d083d2c%232cc61a35-63d1-11f0-ab47-22344d083d2c" TargetMode="External"/><Relationship Id="rId_hyperlink_647" Type="http://schemas.openxmlformats.org/officeDocument/2006/relationships/hyperlink" Target="https://www.test.lavrpack.ru/catalog/?product=1dae4c2a-63d1-11f0-ab47-22344d083d2c%23399adc5b-63d1-11f0-ab47-22344d083d2c" TargetMode="External"/><Relationship Id="rId_hyperlink_648" Type="http://schemas.openxmlformats.org/officeDocument/2006/relationships/hyperlink" Target="https://www.test.lavrpack.ru/catalog/?product=1dae4c2a-63d1-11f0-ab47-22344d083d2c%234ab23681-63d1-11f0-ab47-22344d083d2c" TargetMode="External"/><Relationship Id="rId_hyperlink_649" Type="http://schemas.openxmlformats.org/officeDocument/2006/relationships/hyperlink" Target="https://www.test.lavrpack.ru/catalog/?product=1dae4c2a-63d1-11f0-ab47-22344d083d2c%2341b67977-63d1-11f0-ab47-22344d083d2c" TargetMode="External"/><Relationship Id="rId_hyperlink_650" Type="http://schemas.openxmlformats.org/officeDocument/2006/relationships/hyperlink" Target="https://www.test.lavrpack.ru/catalog/?product=b28d201d-63d6-11f0-ab47-22344d083d2c%23cb78d8fa-63d6-11f0-ab47-22344d083d2c" TargetMode="External"/><Relationship Id="rId_hyperlink_651" Type="http://schemas.openxmlformats.org/officeDocument/2006/relationships/hyperlink" Target="https://www.test.lavrpack.ru/catalog/?product=b28d201d-63d6-11f0-ab47-22344d083d2c%23d263955b-63d6-11f0-ab47-22344d083d2c" TargetMode="External"/><Relationship Id="rId_hyperlink_652" Type="http://schemas.openxmlformats.org/officeDocument/2006/relationships/hyperlink" Target="https://www.test.lavrpack.ru/catalog/?product=b28d201d-63d6-11f0-ab47-22344d083d2c%23d866616a-63d6-11f0-ab47-22344d083d2c" TargetMode="External"/><Relationship Id="rId_hyperlink_653" Type="http://schemas.openxmlformats.org/officeDocument/2006/relationships/hyperlink" Target="https://www.test.lavrpack.ru/catalog/?product=b28d201d-63d6-11f0-ab47-22344d083d2c%23b8e07e90-63d6-11f0-ab47-22344d083d2c" TargetMode="External"/><Relationship Id="rId_hyperlink_654" Type="http://schemas.openxmlformats.org/officeDocument/2006/relationships/hyperlink" Target="https://www.test.lavrpack.ru/catalog/?product=b28d201d-63d6-11f0-ab47-22344d083d2c%23c56d07dc-63d6-11f0-ab47-22344d083d2c" TargetMode="External"/><Relationship Id="rId_hyperlink_655" Type="http://schemas.openxmlformats.org/officeDocument/2006/relationships/hyperlink" Target="https://www.test.lavrpack.ru/catalog/?product=450d5698-9cd3-11ef-ab3b-22344d083d2c%23572364f0-9cd3-11ef-ab3b-22344d083d2c" TargetMode="External"/><Relationship Id="rId_hyperlink_656" Type="http://schemas.openxmlformats.org/officeDocument/2006/relationships/hyperlink" Target="https://www.test.lavrpack.ru/catalog/?product=450d5698-9cd3-11ef-ab3b-22344d083d2c%2364abcf42-9cd3-11ef-ab3b-22344d083d2c" TargetMode="External"/><Relationship Id="rId_hyperlink_657" Type="http://schemas.openxmlformats.org/officeDocument/2006/relationships/hyperlink" Target="https://www.test.lavrpack.ru/catalog/?product=450d5698-9cd3-11ef-ab3b-22344d083d2c%236adc1383-9cd3-11ef-ab3b-22344d083d2c" TargetMode="External"/><Relationship Id="rId_hyperlink_658" Type="http://schemas.openxmlformats.org/officeDocument/2006/relationships/hyperlink" Target="https://www.test.lavrpack.ru/catalog/?product=d3720cff-63d3-11f0-ab47-22344d083d2c%2300707ac9-63d4-11f0-ab47-22344d083d2c" TargetMode="External"/><Relationship Id="rId_hyperlink_659" Type="http://schemas.openxmlformats.org/officeDocument/2006/relationships/hyperlink" Target="https://www.test.lavrpack.ru/catalog/?product=d3720cff-63d3-11f0-ab47-22344d083d2c%234b7e79a7-63d4-11f0-ab47-22344d083d2c" TargetMode="External"/><Relationship Id="rId_hyperlink_660" Type="http://schemas.openxmlformats.org/officeDocument/2006/relationships/hyperlink" Target="https://www.test.lavrpack.ru/catalog/?product=d3720cff-63d3-11f0-ab47-22344d083d2c%23f9f207a0-63d3-11f0-ab47-22344d083d2c" TargetMode="External"/><Relationship Id="rId_hyperlink_661" Type="http://schemas.openxmlformats.org/officeDocument/2006/relationships/hyperlink" Target="https://www.test.lavrpack.ru/catalog/?product=d3720cff-63d3-11f0-ab47-22344d083d2c%230839bba3-63d4-11f0-ab47-22344d083d2c" TargetMode="External"/><Relationship Id="rId_hyperlink_662" Type="http://schemas.openxmlformats.org/officeDocument/2006/relationships/hyperlink" Target="https://www.test.lavrpack.ru/catalog/?product=d3720cff-63d3-11f0-ab47-22344d083d2c%2314f15a9c-63d4-11f0-ab47-22344d083d2c" TargetMode="External"/><Relationship Id="rId_hyperlink_663" Type="http://schemas.openxmlformats.org/officeDocument/2006/relationships/hyperlink" Target="https://www.test.lavrpack.ru/catalog/?product=95f05f22-92e4-11f0-ab48-22344d083d2c%23acd6c158-92e4-11f0-ab48-22344d083d2c" TargetMode="External"/><Relationship Id="rId_hyperlink_664" Type="http://schemas.openxmlformats.org/officeDocument/2006/relationships/hyperlink" Target="https://www.test.lavrpack.ru/catalog/?product=95f05f22-92e4-11f0-ab48-22344d083d2c%23b3a438f6-92e4-11f0-ab48-22344d083d2c" TargetMode="External"/><Relationship Id="rId_hyperlink_665" Type="http://schemas.openxmlformats.org/officeDocument/2006/relationships/hyperlink" Target="https://www.test.lavrpack.ru/catalog/?product=95f05f22-92e4-11f0-ab48-22344d083d2c%23bf985cf3-92e4-11f0-ab48-22344d083d2c" TargetMode="External"/><Relationship Id="rId_hyperlink_666" Type="http://schemas.openxmlformats.org/officeDocument/2006/relationships/hyperlink" Target="https://www.test.lavrpack.ru/catalog/?product=95f05f22-92e4-11f0-ab48-22344d083d2c%23a407fa8e-92e4-11f0-ab48-22344d083d2c" TargetMode="External"/><Relationship Id="rId_hyperlink_667" Type="http://schemas.openxmlformats.org/officeDocument/2006/relationships/hyperlink" Target="https://www.test.lavrpack.ru/catalog/?product=95f05f22-92e4-11f0-ab48-22344d083d2c%23c6d2978c-92e4-11f0-ab48-22344d083d2c" TargetMode="External"/><Relationship Id="rId_hyperlink_668" Type="http://schemas.openxmlformats.org/officeDocument/2006/relationships/hyperlink" Target="https://www.test.lavrpack.ru/catalog/?product=06841901-7f2b-11ec-b73f-0018e40a3af2" TargetMode="External"/><Relationship Id="rId_hyperlink_669" Type="http://schemas.openxmlformats.org/officeDocument/2006/relationships/hyperlink" Target="https://www.test.lavrpack.ru/catalog/?product=03be191e-d6e7-11ee-a0ad-00e01a6800eb%232d7938eb-d6e7-11ee-a0ad-00e01a6800eb" TargetMode="External"/><Relationship Id="rId_hyperlink_670" Type="http://schemas.openxmlformats.org/officeDocument/2006/relationships/hyperlink" Target="https://www.test.lavrpack.ru/catalog/?product=03be191e-d6e7-11ee-a0ad-00e01a6800eb%23340c25cf-d6e7-11ee-a0ad-00e01a6800eb" TargetMode="External"/><Relationship Id="rId_hyperlink_671" Type="http://schemas.openxmlformats.org/officeDocument/2006/relationships/hyperlink" Target="https://www.test.lavrpack.ru/catalog/?product=03be191e-d6e7-11ee-a0ad-00e01a6800eb%230b65259f-d6e7-11ee-a0ad-00e01a6800eb" TargetMode="External"/><Relationship Id="rId_hyperlink_672" Type="http://schemas.openxmlformats.org/officeDocument/2006/relationships/hyperlink" Target="https://www.test.lavrpack.ru/catalog/?product=a4ff0ee5-d6e8-11ee-a0ad-00e01a6800eb%23bcca7042-d6e8-11ee-a0ad-00e01a6800eb" TargetMode="External"/><Relationship Id="rId_hyperlink_673" Type="http://schemas.openxmlformats.org/officeDocument/2006/relationships/hyperlink" Target="https://www.test.lavrpack.ru/catalog/?product=96ce5b91-47f1-11ee-a90e-00e01a6800eb%23f692f784-efee-11ee-9f05-00e01a6800eb" TargetMode="External"/><Relationship Id="rId_hyperlink_674" Type="http://schemas.openxmlformats.org/officeDocument/2006/relationships/hyperlink" Target="https://www.test.lavrpack.ru/catalog/?product=96ce5b91-47f1-11ee-a90e-00e01a6800eb%230d15dadc-efef-11ee-9f05-00e01a6800eb" TargetMode="External"/><Relationship Id="rId_hyperlink_675" Type="http://schemas.openxmlformats.org/officeDocument/2006/relationships/hyperlink" Target="https://www.test.lavrpack.ru/catalog/?product=f7bd9b0a-d6ec-11ee-a0ad-00e01a6800eb%2317f0d860-d6ed-11ee-a0ad-00e01a6800eb" TargetMode="External"/><Relationship Id="rId_hyperlink_676" Type="http://schemas.openxmlformats.org/officeDocument/2006/relationships/hyperlink" Target="https://www.test.lavrpack.ru/catalog/?product=f2cbfd36-adfb-11ed-ba70-00e01a6800eb%236b173590-adfc-11ed-ba70-00e01a6800eb" TargetMode="External"/><Relationship Id="rId_hyperlink_677" Type="http://schemas.openxmlformats.org/officeDocument/2006/relationships/hyperlink" Target="https://www.test.lavrpack.ru/catalog/?product=9b73f809-d6f0-11ee-a0ad-00e01a6800eb%23b108d1e5-d6f0-11ee-a0ad-00e01a6800eb" TargetMode="External"/><Relationship Id="rId_hyperlink_678" Type="http://schemas.openxmlformats.org/officeDocument/2006/relationships/hyperlink" Target="https://www.test.lavrpack.ru/catalog/?product=9b73f809-d6f0-11ee-a0ad-00e01a6800eb%23aab88b8b-d6f0-11ee-a0ad-00e01a6800eb" TargetMode="External"/><Relationship Id="rId_hyperlink_679" Type="http://schemas.openxmlformats.org/officeDocument/2006/relationships/hyperlink" Target="https://www.test.lavrpack.ru/catalog/?product=9b73f809-d6f0-11ee-a0ad-00e01a6800eb%23000fa12d-d6f1-11ee-a0ad-00e01a6800eb" TargetMode="External"/><Relationship Id="rId_hyperlink_680" Type="http://schemas.openxmlformats.org/officeDocument/2006/relationships/hyperlink" Target="https://www.test.lavrpack.ru/catalog/?product=9b73f809-d6f0-11ee-a0ad-00e01a6800eb%23e4b6f228-d6f0-11ee-a0ad-00e01a6800eb" TargetMode="External"/><Relationship Id="rId_hyperlink_681" Type="http://schemas.openxmlformats.org/officeDocument/2006/relationships/hyperlink" Target="https://www.test.lavrpack.ru/catalog/?product=4dddd73f-4d00-11f0-ab41-22344d083d2c%23549a6727-4d00-11f0-ab41-22344d083d2c" TargetMode="External"/><Relationship Id="rId_hyperlink_682" Type="http://schemas.openxmlformats.org/officeDocument/2006/relationships/hyperlink" Target="https://www.test.lavrpack.ru/catalog/?product=4dddd73f-4d00-11f0-ab41-22344d083d2c%23614c8762-4d00-11f0-ab41-22344d083d2c" TargetMode="External"/><Relationship Id="rId_hyperlink_683" Type="http://schemas.openxmlformats.org/officeDocument/2006/relationships/hyperlink" Target="https://www.test.lavrpack.ru/catalog/?product=4dddd73f-4d00-11f0-ab41-22344d083d2c%2314f9b252-4d02-11f0-ab41-22344d083d2c" TargetMode="External"/><Relationship Id="rId_hyperlink_684" Type="http://schemas.openxmlformats.org/officeDocument/2006/relationships/hyperlink" Target="https://www.test.lavrpack.ru/catalog/?product=2280902b-63d8-11f0-ab47-22344d083d2c%23552bb06b-63d8-11f0-ab47-22344d083d2c" TargetMode="External"/><Relationship Id="rId_hyperlink_685" Type="http://schemas.openxmlformats.org/officeDocument/2006/relationships/hyperlink" Target="https://www.test.lavrpack.ru/catalog/?product=2280902b-63d8-11f0-ab47-22344d083d2c%232f3a6532-63d8-11f0-ab47-22344d083d2c" TargetMode="External"/><Relationship Id="rId_hyperlink_686" Type="http://schemas.openxmlformats.org/officeDocument/2006/relationships/hyperlink" Target="https://www.test.lavrpack.ru/catalog/?product=2280902b-63d8-11f0-ab47-22344d083d2c%236adc560c-63d8-11f0-ab47-22344d083d2c" TargetMode="External"/><Relationship Id="rId_hyperlink_687" Type="http://schemas.openxmlformats.org/officeDocument/2006/relationships/hyperlink" Target="https://www.test.lavrpack.ru/catalog/?product=2280902b-63d8-11f0-ab47-22344d083d2c%2363e53f28-63d8-11f0-ab47-22344d083d2c" TargetMode="External"/><Relationship Id="rId_hyperlink_688" Type="http://schemas.openxmlformats.org/officeDocument/2006/relationships/hyperlink" Target="https://www.test.lavrpack.ru/catalog/?product=00c6e28a-63da-11f0-ab47-22344d083d2c%2324ea6099-63da-11f0-ab47-22344d083d2c" TargetMode="External"/><Relationship Id="rId_hyperlink_689" Type="http://schemas.openxmlformats.org/officeDocument/2006/relationships/hyperlink" Target="https://www.test.lavrpack.ru/catalog/?product=00c6e28a-63da-11f0-ab47-22344d083d2c%232b175c6c-63da-11f0-ab47-22344d083d2c" TargetMode="External"/><Relationship Id="rId_hyperlink_690" Type="http://schemas.openxmlformats.org/officeDocument/2006/relationships/hyperlink" Target="https://www.test.lavrpack.ru/catalog/?product=00c6e28a-63da-11f0-ab47-22344d083d2c%231e7b4ce1-63da-11f0-ab47-22344d083d2c" TargetMode="External"/><Relationship Id="rId_hyperlink_691" Type="http://schemas.openxmlformats.org/officeDocument/2006/relationships/hyperlink" Target="https://www.test.lavrpack.ru/catalog/?product=00c6e28a-63da-11f0-ab47-22344d083d2c%2309a6d9a1-63da-11f0-ab47-22344d083d2c" TargetMode="External"/><Relationship Id="rId_hyperlink_692" Type="http://schemas.openxmlformats.org/officeDocument/2006/relationships/hyperlink" Target="https://www.test.lavrpack.ru/catalog/?product=00c6e28a-63da-11f0-ab47-22344d083d2c%2311f3b359-63da-11f0-ab47-22344d083d2c" TargetMode="External"/><Relationship Id="rId_hyperlink_693" Type="http://schemas.openxmlformats.org/officeDocument/2006/relationships/hyperlink" Target="https://www.test.lavrpack.ru/catalog/?product=00c6e28a-63da-11f0-ab47-22344d083d2c%231822d999-63da-11f0-ab47-22344d083d2c" TargetMode="External"/><Relationship Id="rId_hyperlink_694" Type="http://schemas.openxmlformats.org/officeDocument/2006/relationships/hyperlink" Target="https://www.test.lavrpack.ru/catalog/?product=dc099cb5-7fb6-11ee-a8ad-00e01a6800eb%23abe5109e-0c35-11ef-9f05-00e01a6800eb" TargetMode="External"/><Relationship Id="rId_hyperlink_695" Type="http://schemas.openxmlformats.org/officeDocument/2006/relationships/hyperlink" Target="https://www.test.lavrpack.ru/catalog/?product=dc099cb5-7fb6-11ee-a8ad-00e01a6800eb%236f7ffbce-7fb7-11ee-a8ad-00e01a6800eb" TargetMode="External"/><Relationship Id="rId_hyperlink_696" Type="http://schemas.openxmlformats.org/officeDocument/2006/relationships/hyperlink" Target="https://www.test.lavrpack.ru/catalog/?product=dc099cb5-7fb6-11ee-a8ad-00e01a6800eb%235512f503-7fb7-11ee-a8ad-00e01a6800eb" TargetMode="External"/><Relationship Id="rId_hyperlink_697" Type="http://schemas.openxmlformats.org/officeDocument/2006/relationships/hyperlink" Target="https://www.test.lavrpack.ru/catalog/?product=dc099cb5-7fb6-11ee-a8ad-00e01a6800eb%235ebe8c20-7fb7-11ee-a8ad-00e01a6800eb" TargetMode="External"/><Relationship Id="rId_hyperlink_698" Type="http://schemas.openxmlformats.org/officeDocument/2006/relationships/hyperlink" Target="https://www.test.lavrpack.ru/catalog/?product=dc099cb5-7fb6-11ee-a8ad-00e01a6800eb%23a329e463-0c35-11ef-9f05-00e01a6800eb" TargetMode="External"/><Relationship Id="rId_hyperlink_699" Type="http://schemas.openxmlformats.org/officeDocument/2006/relationships/hyperlink" Target="https://www.test.lavrpack.ru/catalog/?product=dc099cb5-7fb6-11ee-a8ad-00e01a6800eb%23c6d76471-0c35-11ef-9f05-00e01a6800eb" TargetMode="External"/><Relationship Id="rId_hyperlink_700" Type="http://schemas.openxmlformats.org/officeDocument/2006/relationships/hyperlink" Target="https://www.test.lavrpack.ru/catalog/?product=dc099cb5-7fb6-11ee-a8ad-00e01a6800eb%23772969bf-7fb7-11ee-a8ad-00e01a6800eb" TargetMode="External"/><Relationship Id="rId_hyperlink_701" Type="http://schemas.openxmlformats.org/officeDocument/2006/relationships/hyperlink" Target="https://www.test.lavrpack.ru/catalog/?product=dc099cb5-7fb6-11ee-a8ad-00e01a6800eb%234096fd97-7fb7-11ee-a8ad-00e01a6800eb" TargetMode="External"/><Relationship Id="rId_hyperlink_702" Type="http://schemas.openxmlformats.org/officeDocument/2006/relationships/hyperlink" Target="https://www.test.lavrpack.ru/catalog/?product=dc099cb5-7fb6-11ee-a8ad-00e01a6800eb%236702b374-7fb7-11ee-a8ad-00e01a6800eb" TargetMode="External"/><Relationship Id="rId_hyperlink_703" Type="http://schemas.openxmlformats.org/officeDocument/2006/relationships/hyperlink" Target="https://www.test.lavrpack.ru/catalog/?product=dc099cb5-7fb6-11ee-a8ad-00e01a6800eb%232d6383f2-7fb7-11ee-a8ad-00e01a6800eb" TargetMode="External"/><Relationship Id="rId_hyperlink_704" Type="http://schemas.openxmlformats.org/officeDocument/2006/relationships/hyperlink" Target="https://www.test.lavrpack.ru/catalog/?product=2cb008d1-d6f3-11ee-a0ad-00e01a6800eb%2366bcb79f-d6f3-11ee-a0ad-00e01a6800eb" TargetMode="External"/><Relationship Id="rId_hyperlink_705" Type="http://schemas.openxmlformats.org/officeDocument/2006/relationships/hyperlink" Target="https://www.test.lavrpack.ru/catalog/?product=2cb008d1-d6f3-11ee-a0ad-00e01a6800eb%235969a3b7-d6f3-11ee-a0ad-00e01a6800eb" TargetMode="External"/><Relationship Id="rId_hyperlink_706" Type="http://schemas.openxmlformats.org/officeDocument/2006/relationships/hyperlink" Target="https://www.test.lavrpack.ru/catalog/?product=d903d913-47ec-11ee-a90e-00e01a6800eb%23f54f02b5-47ec-11ee-a90e-00e01a6800eb" TargetMode="External"/><Relationship Id="rId_hyperlink_707" Type="http://schemas.openxmlformats.org/officeDocument/2006/relationships/hyperlink" Target="https://www.test.lavrpack.ru/catalog/?product=98f0717d-d6f8-11ee-a0ad-00e01a6800eb%23dc9cd0bb-d6f8-11ee-a0ad-00e01a6800eb" TargetMode="External"/><Relationship Id="rId_hyperlink_708" Type="http://schemas.openxmlformats.org/officeDocument/2006/relationships/hyperlink" Target="https://www.test.lavrpack.ru/catalog/?product=98f0717d-d6f8-11ee-a0ad-00e01a6800eb%23c7483c09-d6f8-11ee-a0ad-00e01a6800eb" TargetMode="External"/><Relationship Id="rId_hyperlink_709" Type="http://schemas.openxmlformats.org/officeDocument/2006/relationships/hyperlink" Target="https://www.test.lavrpack.ru/catalog/?product=98f0717d-d6f8-11ee-a0ad-00e01a6800eb%23d00a8c2d-d6f8-11ee-a0ad-00e01a6800eb" TargetMode="External"/><Relationship Id="rId_hyperlink_710" Type="http://schemas.openxmlformats.org/officeDocument/2006/relationships/hyperlink" Target="https://www.test.lavrpack.ru/catalog/?product=98f0717d-d6f8-11ee-a0ad-00e01a6800eb%23c1442181-d6f8-11ee-a0ad-00e01a6800eb" TargetMode="External"/><Relationship Id="rId_hyperlink_711" Type="http://schemas.openxmlformats.org/officeDocument/2006/relationships/hyperlink" Target="https://www.test.lavrpack.ru/catalog/?product=98f0717d-d6f8-11ee-a0ad-00e01a6800eb%23e4e0f7ea-d6f8-11ee-a0ad-00e01a6800eb" TargetMode="External"/><Relationship Id="rId_hyperlink_712" Type="http://schemas.openxmlformats.org/officeDocument/2006/relationships/hyperlink" Target="https://www.test.lavrpack.ru/catalog/?product=98f0717d-d6f8-11ee-a0ad-00e01a6800eb%23f21519e1-d6f8-11ee-a0ad-00e01a6800eb" TargetMode="External"/><Relationship Id="rId_hyperlink_713" Type="http://schemas.openxmlformats.org/officeDocument/2006/relationships/hyperlink" Target="https://www.test.lavrpack.ru/catalog/?product=98f0717d-d6f8-11ee-a0ad-00e01a6800eb%23a01bb670-d6f8-11ee-a0ad-00e01a6800eb" TargetMode="External"/><Relationship Id="rId_hyperlink_714" Type="http://schemas.openxmlformats.org/officeDocument/2006/relationships/hyperlink" Target="https://www.test.lavrpack.ru/catalog/?product=98f0717d-d6f8-11ee-a0ad-00e01a6800eb%23acfee9ac-d6f8-11ee-a0ad-00e01a6800eb" TargetMode="External"/><Relationship Id="rId_hyperlink_715" Type="http://schemas.openxmlformats.org/officeDocument/2006/relationships/hyperlink" Target="https://www.test.lavrpack.ru/catalog/?product=98f0717d-d6f8-11ee-a0ad-00e01a6800eb%23a6d257f6-d6f8-11ee-a0ad-00e01a6800eb" TargetMode="External"/><Relationship Id="rId_hyperlink_716" Type="http://schemas.openxmlformats.org/officeDocument/2006/relationships/hyperlink" Target="https://www.test.lavrpack.ru/catalog/?product=42d85e30-9dbf-11ef-ab3b-22344d083d2c%23a6dce740-9dbf-11ef-ab3b-22344d083d2c" TargetMode="External"/><Relationship Id="rId_hyperlink_717" Type="http://schemas.openxmlformats.org/officeDocument/2006/relationships/hyperlink" Target="https://www.test.lavrpack.ru/catalog/?product=42d85e30-9dbf-11ef-ab3b-22344d083d2c%23d79398bf-9dbf-11ef-ab3b-22344d083d2c" TargetMode="External"/><Relationship Id="rId_hyperlink_718" Type="http://schemas.openxmlformats.org/officeDocument/2006/relationships/hyperlink" Target="https://www.test.lavrpack.ru/catalog/?product=42d85e30-9dbf-11ef-ab3b-22344d083d2c%23068c0861-9dc0-11ef-ab3b-22344d083d2c" TargetMode="External"/><Relationship Id="rId_hyperlink_719" Type="http://schemas.openxmlformats.org/officeDocument/2006/relationships/hyperlink" Target="https://www.test.lavrpack.ru/catalog/?product=42d85e30-9dbf-11ef-ab3b-22344d083d2c%23b3acc1d6-9dbf-11ef-ab3b-22344d083d2c" TargetMode="External"/><Relationship Id="rId_hyperlink_720" Type="http://schemas.openxmlformats.org/officeDocument/2006/relationships/hyperlink" Target="https://www.test.lavrpack.ru/catalog/?product=c477b6d5-ae9c-11ed-ba70-00e01a6800eb%233fd93819-ae9d-11ed-ba70-00e01a6800eb" TargetMode="External"/><Relationship Id="rId_hyperlink_721" Type="http://schemas.openxmlformats.org/officeDocument/2006/relationships/hyperlink" Target="https://www.test.lavrpack.ru/catalog/?product=c477b6d5-ae9c-11ed-ba70-00e01a6800eb%232eaf0bd0-ae9d-11ed-ba70-00e01a6800eb" TargetMode="External"/><Relationship Id="rId_hyperlink_722" Type="http://schemas.openxmlformats.org/officeDocument/2006/relationships/hyperlink" Target="https://www.test.lavrpack.ru/catalog/?product=c477b6d5-ae9c-11ed-ba70-00e01a6800eb%235a7cfe7b-ae9d-11ed-ba70-00e01a6800eb" TargetMode="External"/><Relationship Id="rId_hyperlink_723" Type="http://schemas.openxmlformats.org/officeDocument/2006/relationships/hyperlink" Target="https://www.test.lavrpack.ru/catalog/?product=c477b6d5-ae9c-11ed-ba70-00e01a6800eb%2393b83433-ae9d-11ed-ba70-00e01a6800eb" TargetMode="External"/><Relationship Id="rId_hyperlink_724" Type="http://schemas.openxmlformats.org/officeDocument/2006/relationships/hyperlink" Target="https://www.test.lavrpack.ru/catalog/?product=db94fba1-ca5f-11ee-a0ad-00e01a6800eb%23a84a9642-efee-11ee-9f05-00e01a6800eb" TargetMode="External"/><Relationship Id="rId_hyperlink_725" Type="http://schemas.openxmlformats.org/officeDocument/2006/relationships/hyperlink" Target="https://www.test.lavrpack.ru/catalog/?product=88c65df1-d6f6-11ee-a0ad-00e01a6800eb%23f4eeefef-0924-11ef-9f05-00e01a6800eb" TargetMode="External"/><Relationship Id="rId_hyperlink_726" Type="http://schemas.openxmlformats.org/officeDocument/2006/relationships/hyperlink" Target="https://www.test.lavrpack.ru/catalog/?product=88c65df1-d6f6-11ee-a0ad-00e01a6800eb%233c8eec43-d6f7-11ee-a0ad-00e01a6800eb" TargetMode="External"/><Relationship Id="rId_hyperlink_727" Type="http://schemas.openxmlformats.org/officeDocument/2006/relationships/hyperlink" Target="https://www.test.lavrpack.ru/catalog/?product=6c04b392-bcc5-11ed-8100-00e01a6800eb%2379955f66-e5d9-11ed-8488-00e01a6800eb" TargetMode="External"/><Relationship Id="rId_hyperlink_728" Type="http://schemas.openxmlformats.org/officeDocument/2006/relationships/hyperlink" Target="https://www.test.lavrpack.ru/catalog/?product=6c04b392-bcc5-11ed-8100-00e01a6800eb%23a4a89634-b6af-11ee-baea-00e01a6800eb" TargetMode="External"/><Relationship Id="rId_hyperlink_729" Type="http://schemas.openxmlformats.org/officeDocument/2006/relationships/hyperlink" Target="https://www.test.lavrpack.ru/catalog/?product=6c04b392-bcc5-11ed-8100-00e01a6800eb%23c578ee5b-b6af-11ee-baea-00e01a6800eb" TargetMode="External"/><Relationship Id="rId_hyperlink_730" Type="http://schemas.openxmlformats.org/officeDocument/2006/relationships/hyperlink" Target="https://www.test.lavrpack.ru/catalog/?product=6c04b392-bcc5-11ed-8100-00e01a6800eb%238953a4f2-bcc5-11ed-8100-00e01a6800eb" TargetMode="External"/><Relationship Id="rId_hyperlink_731" Type="http://schemas.openxmlformats.org/officeDocument/2006/relationships/hyperlink" Target="https://www.test.lavrpack.ru/catalog/?product=6c04b392-bcc5-11ed-8100-00e01a6800eb%23b631f979-b6af-11ee-baea-00e01a6800eb" TargetMode="External"/><Relationship Id="rId_hyperlink_732" Type="http://schemas.openxmlformats.org/officeDocument/2006/relationships/hyperlink" Target="https://www.test.lavrpack.ru/catalog/?product=6c04b392-bcc5-11ed-8100-00e01a6800eb%2392bef6e8-bcc5-11ed-8100-00e01a6800eb" TargetMode="External"/><Relationship Id="rId_hyperlink_733" Type="http://schemas.openxmlformats.org/officeDocument/2006/relationships/hyperlink" Target="https://www.test.lavrpack.ru/catalog/?product=6c04b392-bcc5-11ed-8100-00e01a6800eb%23a470d1a1-bcc5-11ed-8100-00e01a6800eb" TargetMode="External"/><Relationship Id="rId_hyperlink_734" Type="http://schemas.openxmlformats.org/officeDocument/2006/relationships/hyperlink" Target="https://www.test.lavrpack.ru/catalog/?product=6c04b392-bcc5-11ed-8100-00e01a6800eb%23d5d9a66b-be72-11ed-8100-00e01a6800eb" TargetMode="External"/><Relationship Id="rId_hyperlink_735" Type="http://schemas.openxmlformats.org/officeDocument/2006/relationships/hyperlink" Target="https://www.test.lavrpack.ru/catalog/?product=6c04b392-bcc5-11ed-8100-00e01a6800eb%237f571f0c-bcc5-11ed-8100-00e01a6800eb" TargetMode="External"/><Relationship Id="rId_hyperlink_736" Type="http://schemas.openxmlformats.org/officeDocument/2006/relationships/hyperlink" Target="https://www.test.lavrpack.ru/catalog/?product=6c04b392-bcc5-11ed-8100-00e01a6800eb%23b3c60ec4-bcc5-11ed-8100-00e01a6800eb" TargetMode="External"/><Relationship Id="rId_hyperlink_737" Type="http://schemas.openxmlformats.org/officeDocument/2006/relationships/hyperlink" Target="https://www.test.lavrpack.ru/catalog/?product=6c04b392-bcc5-11ed-8100-00e01a6800eb%23abf8ec3e-bcc5-11ed-8100-00e01a6800eb" TargetMode="External"/><Relationship Id="rId_hyperlink_738" Type="http://schemas.openxmlformats.org/officeDocument/2006/relationships/hyperlink" Target="https://www.test.lavrpack.ru/catalog/?product=451aad7b-92f1-11f0-ab48-22344d083d2c%23651fbc62-92f1-11f0-ab48-22344d083d2c" TargetMode="External"/><Relationship Id="rId_hyperlink_739" Type="http://schemas.openxmlformats.org/officeDocument/2006/relationships/hyperlink" Target="https://www.test.lavrpack.ru/catalog/?product=451aad7b-92f1-11f0-ab48-22344d083d2c%2382b30190-92f1-11f0-ab48-22344d083d2c" TargetMode="External"/><Relationship Id="rId_hyperlink_740" Type="http://schemas.openxmlformats.org/officeDocument/2006/relationships/hyperlink" Target="https://www.test.lavrpack.ru/catalog/?product=451aad7b-92f1-11f0-ab48-22344d083d2c%236bdcc0c1-92f1-11f0-ab48-22344d083d2c" TargetMode="External"/><Relationship Id="rId_hyperlink_741" Type="http://schemas.openxmlformats.org/officeDocument/2006/relationships/hyperlink" Target="https://www.test.lavrpack.ru/catalog/?product=451aad7b-92f1-11f0-ab48-22344d083d2c%235e134df9-92f1-11f0-ab48-22344d083d2c" TargetMode="External"/><Relationship Id="rId_hyperlink_742" Type="http://schemas.openxmlformats.org/officeDocument/2006/relationships/hyperlink" Target="https://www.test.lavrpack.ru/catalog/?product=451aad7b-92f1-11f0-ab48-22344d083d2c%2351cbec7f-92f1-11f0-ab48-22344d083d2c" TargetMode="External"/><Relationship Id="rId_hyperlink_743" Type="http://schemas.openxmlformats.org/officeDocument/2006/relationships/hyperlink" Target="https://www.test.lavrpack.ru/catalog/?product=451aad7b-92f1-11f0-ab48-22344d083d2c%23b7569de9-92f1-11f0-ab48-22344d083d2c" TargetMode="External"/><Relationship Id="rId_hyperlink_744" Type="http://schemas.openxmlformats.org/officeDocument/2006/relationships/hyperlink" Target="https://www.test.lavrpack.ru/catalog/?product=451aad7b-92f1-11f0-ab48-22344d083d2c%23a6e1155a-92f1-11f0-ab48-22344d083d2c" TargetMode="External"/><Relationship Id="rId_hyperlink_745" Type="http://schemas.openxmlformats.org/officeDocument/2006/relationships/hyperlink" Target="https://www.test.lavrpack.ru/catalog/?product=451aad7b-92f1-11f0-ab48-22344d083d2c%23b03cc475-92f1-11f0-ab48-22344d083d2c" TargetMode="External"/><Relationship Id="rId_hyperlink_746" Type="http://schemas.openxmlformats.org/officeDocument/2006/relationships/hyperlink" Target="https://www.test.lavrpack.ru/catalog/?product=382f046a-92e7-11f0-ab48-22344d083d2c%233f18520d-92e7-11f0-ab48-22344d083d2c" TargetMode="External"/><Relationship Id="rId_hyperlink_747" Type="http://schemas.openxmlformats.org/officeDocument/2006/relationships/hyperlink" Target="https://www.test.lavrpack.ru/catalog/?product=382f046a-92e7-11f0-ab48-22344d083d2c%23519c8a9d-92e7-11f0-ab48-22344d083d2c" TargetMode="External"/><Relationship Id="rId_hyperlink_748" Type="http://schemas.openxmlformats.org/officeDocument/2006/relationships/hyperlink" Target="https://www.test.lavrpack.ru/catalog/?product=382f046a-92e7-11f0-ab48-22344d083d2c%2379cfc909-92e7-11f0-ab48-22344d083d2c" TargetMode="External"/><Relationship Id="rId_hyperlink_749" Type="http://schemas.openxmlformats.org/officeDocument/2006/relationships/hyperlink" Target="https://www.test.lavrpack.ru/catalog/?product=382f046a-92e7-11f0-ab48-22344d083d2c%23736e311f-92e7-11f0-ab48-22344d083d2c" TargetMode="External"/><Relationship Id="rId_hyperlink_750" Type="http://schemas.openxmlformats.org/officeDocument/2006/relationships/hyperlink" Target="https://www.test.lavrpack.ru/catalog/?product=382f046a-92e7-11f0-ab48-22344d083d2c%2361dcf514-92e7-11f0-ab48-22344d083d2c" TargetMode="External"/><Relationship Id="rId_hyperlink_751" Type="http://schemas.openxmlformats.org/officeDocument/2006/relationships/hyperlink" Target="https://www.test.lavrpack.ru/catalog/?product=1b8aa63d-ae97-11ed-ba70-00e01a6800eb%23379e2974-ae97-11ed-ba70-00e01a6800eb" TargetMode="External"/><Relationship Id="rId_hyperlink_752" Type="http://schemas.openxmlformats.org/officeDocument/2006/relationships/hyperlink" Target="https://www.test.lavrpack.ru/catalog/?product=2e2d3a2c-d6ea-11ee-a0ad-00e01a6800eb%23cbfcf4c0-d6ea-11ee-a0ad-00e01a6800eb" TargetMode="External"/><Relationship Id="rId_hyperlink_753" Type="http://schemas.openxmlformats.org/officeDocument/2006/relationships/hyperlink" Target="https://www.test.lavrpack.ru/catalog/?product=2e2d3a2c-d6ea-11ee-a0ad-00e01a6800eb%231e49a88e-d6eb-11ee-a0ad-00e01a6800eb" TargetMode="External"/><Relationship Id="rId_hyperlink_754" Type="http://schemas.openxmlformats.org/officeDocument/2006/relationships/hyperlink" Target="https://www.test.lavrpack.ru/catalog/?product=9a7378c6-9039-11ee-a8ad-00e01a6800eb%23bf293180-9039-11ee-a8ad-00e01a6800eb" TargetMode="External"/><Relationship Id="rId_hyperlink_755" Type="http://schemas.openxmlformats.org/officeDocument/2006/relationships/hyperlink" Target="https://www.test.lavrpack.ru/catalog/?product=9a7378c6-9039-11ee-a8ad-00e01a6800eb%23d25a49ba-9039-11ee-a8ad-00e01a6800eb" TargetMode="External"/><Relationship Id="rId_hyperlink_756" Type="http://schemas.openxmlformats.org/officeDocument/2006/relationships/hyperlink" Target="https://www.test.lavrpack.ru/catalog/?product=9a7378c6-9039-11ee-a8ad-00e01a6800eb%23c77ba119-9039-11ee-a8ad-00e01a6800eb" TargetMode="External"/><Relationship Id="rId_hyperlink_757" Type="http://schemas.openxmlformats.org/officeDocument/2006/relationships/hyperlink" Target="https://www.test.lavrpack.ru/catalog/?product=9a7378c6-9039-11ee-a8ad-00e01a6800eb%23d928b8ef-9039-11ee-a8ad-00e01a6800eb" TargetMode="External"/><Relationship Id="rId_hyperlink_758" Type="http://schemas.openxmlformats.org/officeDocument/2006/relationships/hyperlink" Target="https://www.test.lavrpack.ru/catalog/?product=43be5159-63d9-11f0-ab47-22344d083d2c%236e8f8084-63d9-11f0-ab47-22344d083d2c" TargetMode="External"/><Relationship Id="rId_hyperlink_759" Type="http://schemas.openxmlformats.org/officeDocument/2006/relationships/hyperlink" Target="https://www.test.lavrpack.ru/catalog/?product=43be5159-63d9-11f0-ab47-22344d083d2c%23580d39e3-63d9-11f0-ab47-22344d083d2c" TargetMode="External"/><Relationship Id="rId_hyperlink_760" Type="http://schemas.openxmlformats.org/officeDocument/2006/relationships/hyperlink" Target="https://www.test.lavrpack.ru/catalog/?product=43be5159-63d9-11f0-ab47-22344d083d2c%2374f98814-63d9-11f0-ab47-22344d083d2c" TargetMode="External"/><Relationship Id="rId_hyperlink_761" Type="http://schemas.openxmlformats.org/officeDocument/2006/relationships/hyperlink" Target="https://www.test.lavrpack.ru/catalog/?product=43be5159-63d9-11f0-ab47-22344d083d2c%2351b312e8-63d9-11f0-ab47-22344d083d2c" TargetMode="External"/><Relationship Id="rId_hyperlink_762" Type="http://schemas.openxmlformats.org/officeDocument/2006/relationships/hyperlink" Target="https://www.test.lavrpack.ru/catalog/?product=43be5159-63d9-11f0-ab47-22344d083d2c%234b8cc381-63d9-11f0-ab47-22344d083d2c" TargetMode="External"/><Relationship Id="rId_hyperlink_763" Type="http://schemas.openxmlformats.org/officeDocument/2006/relationships/hyperlink" Target="https://www.test.lavrpack.ru/catalog/?product=43be5159-63d9-11f0-ab47-22344d083d2c%237cb9fb35-63d9-11f0-ab47-22344d083d2c" TargetMode="External"/><Relationship Id="rId_hyperlink_764" Type="http://schemas.openxmlformats.org/officeDocument/2006/relationships/hyperlink" Target="https://www.test.lavrpack.ru/catalog/?product=b7401996-092a-11ef-9f05-00e01a6800eb%23473e9757-092b-11ef-9f05-00e01a6800eb" TargetMode="External"/><Relationship Id="rId_hyperlink_765" Type="http://schemas.openxmlformats.org/officeDocument/2006/relationships/hyperlink" Target="https://www.test.lavrpack.ru/catalog/?product=b7401996-092a-11ef-9f05-00e01a6800eb%23d2835c27-092a-11ef-9f05-00e01a6800eb" TargetMode="External"/><Relationship Id="rId_hyperlink_766" Type="http://schemas.openxmlformats.org/officeDocument/2006/relationships/hyperlink" Target="https://www.test.lavrpack.ru/catalog/?product=5e7873b0-47f9-11ee-a90e-00e01a6800eb%23ee6c2855-0c34-11ef-9f05-00e01a6800eb" TargetMode="External"/><Relationship Id="rId_hyperlink_767" Type="http://schemas.openxmlformats.org/officeDocument/2006/relationships/hyperlink" Target="https://www.test.lavrpack.ru/catalog/?product=5e7873b0-47f9-11ee-a90e-00e01a6800eb%23a12b57b0-8a02-11ee-a8ad-00e01a6800eb" TargetMode="External"/><Relationship Id="rId_hyperlink_768" Type="http://schemas.openxmlformats.org/officeDocument/2006/relationships/hyperlink" Target="https://www.test.lavrpack.ru/catalog/?product=5e7873b0-47f9-11ee-a90e-00e01a6800eb%23e1464e92-0c34-11ef-9f05-00e01a6800eb" TargetMode="External"/><Relationship Id="rId_hyperlink_769" Type="http://schemas.openxmlformats.org/officeDocument/2006/relationships/hyperlink" Target="https://www.test.lavrpack.ru/catalog/?product=5e7873b0-47f9-11ee-a90e-00e01a6800eb%23f6bc36ac-0c34-11ef-9f05-00e01a6800eb" TargetMode="External"/><Relationship Id="rId_hyperlink_770" Type="http://schemas.openxmlformats.org/officeDocument/2006/relationships/hyperlink" Target="https://www.test.lavrpack.ru/catalog/?product=3bf4db5e-b109-11ed-ba70-00e01a6800eb%234fdf9ef9-b109-11ed-ba70-00e01a6800eb" TargetMode="External"/><Relationship Id="rId_hyperlink_771" Type="http://schemas.openxmlformats.org/officeDocument/2006/relationships/hyperlink" Target="https://www.test.lavrpack.ru/catalog/?product=f72896bc-77a8-11ed-bb4b-00e01a6800eb%2364e2930a-77a9-11ed-bb4b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785"/>
  <sheetViews>
    <sheetView tabSelected="1" workbookViewId="0" showGridLines="true" showRowColHeaders="1">
      <pane ySplit="6" activePane="bottomLeft" state="frozen" topLeftCell="A7"/>
      <selection pane="bottomLeft" activeCell="M7" sqref="M7:M781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</cols>
  <sheetData>
    <row r="1" spans="1:16" customHeight="1" ht="30">
      <c r="A1" s="1" t="s">
        <v>0</v>
      </c>
    </row>
    <row r="2" spans="1:16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6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6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6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IF($G$3="","",SUMPRODUCT(--ISNUMBER(SEARCH($G$3,$B$7:$B$781&amp;" "&amp;$C$7:$C$781&amp;" "&amp;$D$7:$D$781&amp;" "&amp;$E$7:$E$781)))&amp;" найдено — совпадения подсвечены")</f>
      </c>
      <c r="J5" s="4"/>
      <c r="K5" s="7"/>
      <c r="L5" s="10"/>
    </row>
    <row r="6" spans="1:16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  <c r="J6" s="15" t="s">
        <v>23</v>
      </c>
      <c r="K6" s="15" t="s">
        <v>24</v>
      </c>
      <c r="L6" s="15" t="s">
        <v>25</v>
      </c>
      <c r="M6" s="15" t="s">
        <v>5</v>
      </c>
      <c r="N6" s="40" t="s">
        <v>2318</v>
      </c>
      <c r="P6" s="40" t="s">
        <v>2319</v>
      </c>
    </row>
    <row r="7" spans="1:16" customHeight="1" ht="24">
      <c r="A7" s="23" t="s">
        <v>26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6" customHeight="1" ht="58">
      <c r="A8" s="16"/>
      <c r="B8" s="18" t="s">
        <v>28</v>
      </c>
      <c r="C8" s="17" t="s">
        <v>29</v>
      </c>
      <c r="D8" s="17" t="s">
        <v>30</v>
      </c>
      <c r="E8" s="17" t="s">
        <v>31</v>
      </c>
      <c r="F8" s="19"/>
      <c r="G8" s="20">
        <v>1.0</v>
      </c>
      <c r="H8" s="21">
        <v>264.0</v>
      </c>
      <c r="I8" s="21">
        <v>177.0</v>
      </c>
      <c r="J8" s="22">
        <v>149.0</v>
      </c>
      <c r="K8" s="50"/>
      <c r="L8" s="21" t="str">
        <f>IF(K8&gt;0,K8*I8,"")</f>
      </c>
      <c r="M8" s="52"/>
      <c r="N8" t="str">
        <f>IF(K8&gt;0,COUNTIF($K$7:K8,"&gt;0"),"")</f>
      </c>
      <c r="O8" t="s">
        <v>32</v>
      </c>
      <c r="P8" t="s">
        <v>27</v>
      </c>
    </row>
    <row r="9" spans="1:16" customHeight="1" ht="58">
      <c r="A9" s="16"/>
      <c r="B9" s="18" t="s">
        <v>28</v>
      </c>
      <c r="C9" s="17" t="s">
        <v>29</v>
      </c>
      <c r="D9" s="17" t="s">
        <v>34</v>
      </c>
      <c r="E9" s="17" t="s">
        <v>31</v>
      </c>
      <c r="F9" s="19"/>
      <c r="G9" s="20">
        <v>1.0</v>
      </c>
      <c r="H9" s="21">
        <v>264.0</v>
      </c>
      <c r="I9" s="21">
        <v>177.0</v>
      </c>
      <c r="J9" s="22">
        <v>211.0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33</v>
      </c>
    </row>
    <row r="10" spans="1:16" customHeight="1" ht="58">
      <c r="A10" s="16"/>
      <c r="B10" s="18" t="s">
        <v>28</v>
      </c>
      <c r="C10" s="17" t="s">
        <v>29</v>
      </c>
      <c r="D10" s="17" t="s">
        <v>37</v>
      </c>
      <c r="E10" s="17" t="s">
        <v>31</v>
      </c>
      <c r="F10" s="19"/>
      <c r="G10" s="20">
        <v>1.0</v>
      </c>
      <c r="H10" s="21">
        <v>264.0</v>
      </c>
      <c r="I10" s="21">
        <v>177.0</v>
      </c>
      <c r="J10" s="22">
        <v>266.0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38</v>
      </c>
      <c r="P10" t="s">
        <v>36</v>
      </c>
    </row>
    <row r="11" spans="1:16" customHeight="1" ht="58">
      <c r="A11" s="16"/>
      <c r="B11" s="18" t="s">
        <v>28</v>
      </c>
      <c r="C11" s="17" t="s">
        <v>29</v>
      </c>
      <c r="D11" s="17" t="s">
        <v>40</v>
      </c>
      <c r="E11" s="17" t="s">
        <v>31</v>
      </c>
      <c r="F11" s="19"/>
      <c r="G11" s="20">
        <v>1.0</v>
      </c>
      <c r="H11" s="21">
        <v>132.0</v>
      </c>
      <c r="I11" s="21">
        <v>131.0</v>
      </c>
      <c r="J11" s="22">
        <v>28.0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41</v>
      </c>
      <c r="P11" t="s">
        <v>39</v>
      </c>
    </row>
    <row r="12" spans="1:16" customHeight="1" ht="58">
      <c r="A12" s="16"/>
      <c r="B12" s="18" t="s">
        <v>28</v>
      </c>
      <c r="C12" s="17" t="s">
        <v>29</v>
      </c>
      <c r="D12" s="17" t="s">
        <v>43</v>
      </c>
      <c r="E12" s="17" t="s">
        <v>31</v>
      </c>
      <c r="F12" s="19"/>
      <c r="G12" s="20">
        <v>1.0</v>
      </c>
      <c r="H12" s="21">
        <v>264.0</v>
      </c>
      <c r="I12" s="21">
        <v>177.0</v>
      </c>
      <c r="J12" s="22">
        <v>29.0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44</v>
      </c>
      <c r="P12" t="s">
        <v>42</v>
      </c>
    </row>
    <row r="13" spans="1:16" customHeight="1" ht="58">
      <c r="A13" s="16"/>
      <c r="B13" s="18" t="s">
        <v>46</v>
      </c>
      <c r="C13" s="17" t="s">
        <v>47</v>
      </c>
      <c r="D13" s="17" t="s">
        <v>48</v>
      </c>
      <c r="E13" s="17" t="s">
        <v>31</v>
      </c>
      <c r="F13" s="19"/>
      <c r="G13" s="20">
        <v>1.0</v>
      </c>
      <c r="H13" s="21">
        <v>330.0</v>
      </c>
      <c r="I13" s="21">
        <v>197.0</v>
      </c>
      <c r="J13" s="22">
        <v>1173.0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49</v>
      </c>
      <c r="P13" t="s">
        <v>45</v>
      </c>
    </row>
    <row r="14" spans="1:16" customHeight="1" ht="58">
      <c r="A14" s="16"/>
      <c r="B14" s="18" t="s">
        <v>46</v>
      </c>
      <c r="C14" s="17" t="s">
        <v>47</v>
      </c>
      <c r="D14" s="17" t="s">
        <v>51</v>
      </c>
      <c r="E14" s="17" t="s">
        <v>31</v>
      </c>
      <c r="F14" s="19"/>
      <c r="G14" s="20">
        <v>1.0</v>
      </c>
      <c r="H14" s="21">
        <v>330.0</v>
      </c>
      <c r="I14" s="21">
        <v>197.0</v>
      </c>
      <c r="J14" s="22">
        <v>597.0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52</v>
      </c>
      <c r="P14" t="s">
        <v>50</v>
      </c>
    </row>
    <row r="15" spans="1:16" customHeight="1" ht="58">
      <c r="A15" s="16"/>
      <c r="B15" s="18" t="s">
        <v>46</v>
      </c>
      <c r="C15" s="17" t="s">
        <v>47</v>
      </c>
      <c r="D15" s="17" t="s">
        <v>54</v>
      </c>
      <c r="E15" s="17" t="s">
        <v>31</v>
      </c>
      <c r="F15" s="19"/>
      <c r="G15" s="20">
        <v>1.0</v>
      </c>
      <c r="H15" s="21">
        <v>330.0</v>
      </c>
      <c r="I15" s="21">
        <v>197.0</v>
      </c>
      <c r="J15" s="22">
        <v>1923.0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55</v>
      </c>
      <c r="P15" t="s">
        <v>53</v>
      </c>
    </row>
    <row r="16" spans="1:16" customHeight="1" ht="58">
      <c r="A16" s="16"/>
      <c r="B16" s="18" t="s">
        <v>46</v>
      </c>
      <c r="C16" s="17" t="s">
        <v>47</v>
      </c>
      <c r="D16" s="17" t="s">
        <v>57</v>
      </c>
      <c r="E16" s="17" t="s">
        <v>31</v>
      </c>
      <c r="F16" s="19"/>
      <c r="G16" s="20">
        <v>1.0</v>
      </c>
      <c r="H16" s="21">
        <v>330.0</v>
      </c>
      <c r="I16" s="21">
        <v>197.0</v>
      </c>
      <c r="J16" s="22">
        <v>1146.0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58</v>
      </c>
      <c r="P16" t="s">
        <v>56</v>
      </c>
    </row>
    <row r="17" spans="1:16" customHeight="1" ht="58">
      <c r="A17" s="16"/>
      <c r="B17" s="18" t="s">
        <v>46</v>
      </c>
      <c r="C17" s="17" t="s">
        <v>47</v>
      </c>
      <c r="D17" s="17" t="s">
        <v>60</v>
      </c>
      <c r="E17" s="17" t="s">
        <v>31</v>
      </c>
      <c r="F17" s="19"/>
      <c r="G17" s="20">
        <v>1.0</v>
      </c>
      <c r="H17" s="21">
        <v>330.0</v>
      </c>
      <c r="I17" s="21">
        <v>197.0</v>
      </c>
      <c r="J17" s="22">
        <v>521.0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61</v>
      </c>
      <c r="P17" t="s">
        <v>59</v>
      </c>
    </row>
    <row r="18" spans="1:16" customHeight="1" ht="58">
      <c r="A18" s="16"/>
      <c r="B18" s="18" t="s">
        <v>46</v>
      </c>
      <c r="C18" s="17" t="s">
        <v>47</v>
      </c>
      <c r="D18" s="17" t="s">
        <v>63</v>
      </c>
      <c r="E18" s="17" t="s">
        <v>31</v>
      </c>
      <c r="F18" s="19"/>
      <c r="G18" s="20">
        <v>1.0</v>
      </c>
      <c r="H18" s="21">
        <v>330.0</v>
      </c>
      <c r="I18" s="21">
        <v>197.0</v>
      </c>
      <c r="J18" s="22">
        <v>101.0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64</v>
      </c>
      <c r="P18" t="s">
        <v>62</v>
      </c>
    </row>
    <row r="19" spans="1:16" customHeight="1" ht="58">
      <c r="A19" s="16"/>
      <c r="B19" s="18" t="s">
        <v>46</v>
      </c>
      <c r="C19" s="17" t="s">
        <v>47</v>
      </c>
      <c r="D19" s="17" t="s">
        <v>66</v>
      </c>
      <c r="E19" s="17" t="s">
        <v>31</v>
      </c>
      <c r="F19" s="19"/>
      <c r="G19" s="20">
        <v>1.0</v>
      </c>
      <c r="H19" s="21">
        <v>330.0</v>
      </c>
      <c r="I19" s="21">
        <v>197.0</v>
      </c>
      <c r="J19" s="22">
        <v>1029.0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67</v>
      </c>
      <c r="P19" t="s">
        <v>65</v>
      </c>
    </row>
    <row r="20" spans="1:16" customHeight="1" ht="58">
      <c r="A20" s="16"/>
      <c r="B20" s="18" t="s">
        <v>46</v>
      </c>
      <c r="C20" s="17" t="s">
        <v>47</v>
      </c>
      <c r="D20" s="17" t="s">
        <v>69</v>
      </c>
      <c r="E20" s="17" t="s">
        <v>31</v>
      </c>
      <c r="F20" s="19"/>
      <c r="G20" s="20">
        <v>1.0</v>
      </c>
      <c r="H20" s="21">
        <v>330.0</v>
      </c>
      <c r="I20" s="21">
        <v>197.0</v>
      </c>
      <c r="J20" s="22">
        <v>594.0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70</v>
      </c>
      <c r="P20" t="s">
        <v>68</v>
      </c>
    </row>
    <row r="21" spans="1:16" customHeight="1" ht="58">
      <c r="A21" s="16"/>
      <c r="B21" s="18" t="s">
        <v>46</v>
      </c>
      <c r="C21" s="17" t="s">
        <v>47</v>
      </c>
      <c r="D21" s="17" t="s">
        <v>72</v>
      </c>
      <c r="E21" s="17" t="s">
        <v>31</v>
      </c>
      <c r="F21" s="19"/>
      <c r="G21" s="20">
        <v>1.0</v>
      </c>
      <c r="H21" s="21">
        <v>330.0</v>
      </c>
      <c r="I21" s="21">
        <v>197.0</v>
      </c>
      <c r="J21" s="22">
        <v>1165.0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73</v>
      </c>
      <c r="P21" t="s">
        <v>71</v>
      </c>
    </row>
    <row r="22" spans="1:16" customHeight="1" ht="58">
      <c r="A22" s="16"/>
      <c r="B22" s="18" t="s">
        <v>46</v>
      </c>
      <c r="C22" s="17" t="s">
        <v>47</v>
      </c>
      <c r="D22" s="17" t="s">
        <v>75</v>
      </c>
      <c r="E22" s="17" t="s">
        <v>31</v>
      </c>
      <c r="F22" s="19"/>
      <c r="G22" s="20">
        <v>1.0</v>
      </c>
      <c r="H22" s="21">
        <v>330.0</v>
      </c>
      <c r="I22" s="21">
        <v>197.0</v>
      </c>
      <c r="J22" s="22">
        <v>1778.0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76</v>
      </c>
      <c r="P22" t="s">
        <v>74</v>
      </c>
    </row>
    <row r="23" spans="1:16" customHeight="1" ht="58">
      <c r="A23" s="16"/>
      <c r="B23" s="18" t="s">
        <v>46</v>
      </c>
      <c r="C23" s="17" t="s">
        <v>47</v>
      </c>
      <c r="D23" s="17" t="s">
        <v>78</v>
      </c>
      <c r="E23" s="17" t="s">
        <v>31</v>
      </c>
      <c r="F23" s="19"/>
      <c r="G23" s="20">
        <v>1.0</v>
      </c>
      <c r="H23" s="21">
        <v>330.0</v>
      </c>
      <c r="I23" s="21">
        <v>197.0</v>
      </c>
      <c r="J23" s="22">
        <v>1663.0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79</v>
      </c>
      <c r="P23" t="s">
        <v>77</v>
      </c>
    </row>
    <row r="24" spans="1:16" customHeight="1" ht="58">
      <c r="A24" s="16"/>
      <c r="B24" s="18" t="s">
        <v>46</v>
      </c>
      <c r="C24" s="17" t="s">
        <v>47</v>
      </c>
      <c r="D24" s="17" t="s">
        <v>81</v>
      </c>
      <c r="E24" s="17" t="s">
        <v>31</v>
      </c>
      <c r="F24" s="19"/>
      <c r="G24" s="20">
        <v>1.0</v>
      </c>
      <c r="H24" s="21">
        <v>330.0</v>
      </c>
      <c r="I24" s="21">
        <v>197.0</v>
      </c>
      <c r="J24" s="22">
        <v>1501.0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82</v>
      </c>
      <c r="P24" t="s">
        <v>80</v>
      </c>
    </row>
    <row r="25" spans="1:16" customHeight="1" ht="58">
      <c r="A25" s="16"/>
      <c r="B25" s="18" t="s">
        <v>46</v>
      </c>
      <c r="C25" s="17" t="s">
        <v>47</v>
      </c>
      <c r="D25" s="17" t="s">
        <v>84</v>
      </c>
      <c r="E25" s="17" t="s">
        <v>31</v>
      </c>
      <c r="F25" s="19"/>
      <c r="G25" s="20">
        <v>1.0</v>
      </c>
      <c r="H25" s="21">
        <v>330.0</v>
      </c>
      <c r="I25" s="21">
        <v>197.0</v>
      </c>
      <c r="J25" s="22">
        <v>346.0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85</v>
      </c>
      <c r="P25" t="s">
        <v>83</v>
      </c>
    </row>
    <row r="26" spans="1:16" customHeight="1" ht="58">
      <c r="A26" s="16"/>
      <c r="B26" s="18" t="s">
        <v>46</v>
      </c>
      <c r="C26" s="17" t="s">
        <v>47</v>
      </c>
      <c r="D26" s="17" t="s">
        <v>87</v>
      </c>
      <c r="E26" s="17" t="s">
        <v>31</v>
      </c>
      <c r="F26" s="19"/>
      <c r="G26" s="20">
        <v>1.0</v>
      </c>
      <c r="H26" s="21">
        <v>330.0</v>
      </c>
      <c r="I26" s="21">
        <v>197.0</v>
      </c>
      <c r="J26" s="22">
        <v>1936.0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88</v>
      </c>
      <c r="P26" t="s">
        <v>86</v>
      </c>
    </row>
    <row r="27" spans="1:16" customHeight="1" ht="58">
      <c r="A27" s="16"/>
      <c r="B27" s="18" t="s">
        <v>46</v>
      </c>
      <c r="C27" s="17" t="s">
        <v>47</v>
      </c>
      <c r="D27" s="17" t="s">
        <v>90</v>
      </c>
      <c r="E27" s="17" t="s">
        <v>31</v>
      </c>
      <c r="F27" s="19"/>
      <c r="G27" s="20">
        <v>1.0</v>
      </c>
      <c r="H27" s="21">
        <v>330.0</v>
      </c>
      <c r="I27" s="21">
        <v>197.0</v>
      </c>
      <c r="J27" s="22">
        <v>1180.0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91</v>
      </c>
      <c r="P27" t="s">
        <v>89</v>
      </c>
    </row>
    <row r="28" spans="1:16" customHeight="1" ht="58">
      <c r="A28" s="16"/>
      <c r="B28" s="18" t="s">
        <v>46</v>
      </c>
      <c r="C28" s="17" t="s">
        <v>47</v>
      </c>
      <c r="D28" s="17" t="s">
        <v>93</v>
      </c>
      <c r="E28" s="17" t="s">
        <v>31</v>
      </c>
      <c r="F28" s="19"/>
      <c r="G28" s="20">
        <v>1.0</v>
      </c>
      <c r="H28" s="21">
        <v>330.0</v>
      </c>
      <c r="I28" s="21">
        <v>197.0</v>
      </c>
      <c r="J28" s="22">
        <v>551.0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94</v>
      </c>
      <c r="P28" t="s">
        <v>92</v>
      </c>
    </row>
    <row r="29" spans="1:16" customHeight="1" ht="58">
      <c r="A29" s="16"/>
      <c r="B29" s="18" t="s">
        <v>46</v>
      </c>
      <c r="C29" s="17" t="s">
        <v>47</v>
      </c>
      <c r="D29" s="17" t="s">
        <v>96</v>
      </c>
      <c r="E29" s="17" t="s">
        <v>31</v>
      </c>
      <c r="F29" s="19"/>
      <c r="G29" s="20">
        <v>1.0</v>
      </c>
      <c r="H29" s="21">
        <v>330.0</v>
      </c>
      <c r="I29" s="21">
        <v>197.0</v>
      </c>
      <c r="J29" s="22">
        <v>898.0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97</v>
      </c>
      <c r="P29" t="s">
        <v>95</v>
      </c>
    </row>
    <row r="30" spans="1:16" customHeight="1" ht="58">
      <c r="A30" s="16"/>
      <c r="B30" s="18" t="s">
        <v>46</v>
      </c>
      <c r="C30" s="17" t="s">
        <v>47</v>
      </c>
      <c r="D30" s="17" t="s">
        <v>99</v>
      </c>
      <c r="E30" s="17" t="s">
        <v>31</v>
      </c>
      <c r="F30" s="19"/>
      <c r="G30" s="20">
        <v>1.0</v>
      </c>
      <c r="H30" s="21">
        <v>330.0</v>
      </c>
      <c r="I30" s="21">
        <v>197.0</v>
      </c>
      <c r="J30" s="22">
        <v>794.0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100</v>
      </c>
      <c r="P30" t="s">
        <v>98</v>
      </c>
    </row>
    <row r="31" spans="1:16" customHeight="1" ht="58">
      <c r="A31" s="16"/>
      <c r="B31" s="18" t="s">
        <v>46</v>
      </c>
      <c r="C31" s="17" t="s">
        <v>47</v>
      </c>
      <c r="D31" s="17" t="s">
        <v>102</v>
      </c>
      <c r="E31" s="17" t="s">
        <v>31</v>
      </c>
      <c r="F31" s="19"/>
      <c r="G31" s="20">
        <v>1.0</v>
      </c>
      <c r="H31" s="21">
        <v>330.0</v>
      </c>
      <c r="I31" s="21">
        <v>197.0</v>
      </c>
      <c r="J31" s="22">
        <v>1505.0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103</v>
      </c>
      <c r="P31" t="s">
        <v>101</v>
      </c>
    </row>
    <row r="32" spans="1:16" customHeight="1" ht="58">
      <c r="A32" s="16"/>
      <c r="B32" s="18" t="s">
        <v>46</v>
      </c>
      <c r="C32" s="17" t="s">
        <v>47</v>
      </c>
      <c r="D32" s="17" t="s">
        <v>105</v>
      </c>
      <c r="E32" s="17" t="s">
        <v>31</v>
      </c>
      <c r="F32" s="19"/>
      <c r="G32" s="20">
        <v>1.0</v>
      </c>
      <c r="H32" s="21">
        <v>330.0</v>
      </c>
      <c r="I32" s="21">
        <v>197.0</v>
      </c>
      <c r="J32" s="22">
        <v>841.0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106</v>
      </c>
      <c r="P32" t="s">
        <v>104</v>
      </c>
    </row>
    <row r="33" spans="1:16" customHeight="1" ht="58">
      <c r="A33" s="16"/>
      <c r="B33" s="18" t="s">
        <v>46</v>
      </c>
      <c r="C33" s="17" t="s">
        <v>47</v>
      </c>
      <c r="D33" s="17" t="s">
        <v>108</v>
      </c>
      <c r="E33" s="17" t="s">
        <v>31</v>
      </c>
      <c r="F33" s="19"/>
      <c r="G33" s="20">
        <v>1.0</v>
      </c>
      <c r="H33" s="21">
        <v>330.0</v>
      </c>
      <c r="I33" s="21">
        <v>197.0</v>
      </c>
      <c r="J33" s="22">
        <v>1987.0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109</v>
      </c>
      <c r="P33" t="s">
        <v>107</v>
      </c>
    </row>
    <row r="34" spans="1:16" customHeight="1" ht="58">
      <c r="A34" s="16"/>
      <c r="B34" s="18" t="s">
        <v>46</v>
      </c>
      <c r="C34" s="17" t="s">
        <v>47</v>
      </c>
      <c r="D34" s="17" t="s">
        <v>111</v>
      </c>
      <c r="E34" s="17" t="s">
        <v>31</v>
      </c>
      <c r="F34" s="19"/>
      <c r="G34" s="20">
        <v>1.0</v>
      </c>
      <c r="H34" s="21">
        <v>330.0</v>
      </c>
      <c r="I34" s="21">
        <v>197.0</v>
      </c>
      <c r="J34" s="22">
        <v>744.0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112</v>
      </c>
      <c r="P34" t="s">
        <v>110</v>
      </c>
    </row>
    <row r="35" spans="1:16" customHeight="1" ht="58">
      <c r="A35" s="16"/>
      <c r="B35" s="18" t="s">
        <v>46</v>
      </c>
      <c r="C35" s="17" t="s">
        <v>47</v>
      </c>
      <c r="D35" s="17" t="s">
        <v>114</v>
      </c>
      <c r="E35" s="17" t="s">
        <v>31</v>
      </c>
      <c r="F35" s="19"/>
      <c r="G35" s="20">
        <v>1.0</v>
      </c>
      <c r="H35" s="21">
        <v>330.0</v>
      </c>
      <c r="I35" s="21">
        <v>197.0</v>
      </c>
      <c r="J35" s="22">
        <v>492.0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115</v>
      </c>
      <c r="P35" t="s">
        <v>113</v>
      </c>
    </row>
    <row r="36" spans="1:16" customHeight="1" ht="58">
      <c r="A36" s="16"/>
      <c r="B36" s="18" t="s">
        <v>46</v>
      </c>
      <c r="C36" s="17" t="s">
        <v>47</v>
      </c>
      <c r="D36" s="17" t="s">
        <v>117</v>
      </c>
      <c r="E36" s="17" t="s">
        <v>31</v>
      </c>
      <c r="F36" s="19"/>
      <c r="G36" s="20">
        <v>1.0</v>
      </c>
      <c r="H36" s="21">
        <v>330.0</v>
      </c>
      <c r="I36" s="21">
        <v>197.0</v>
      </c>
      <c r="J36" s="22">
        <v>88.0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118</v>
      </c>
      <c r="P36" t="s">
        <v>116</v>
      </c>
    </row>
    <row r="37" spans="1:16" customHeight="1" ht="58">
      <c r="A37" s="16"/>
      <c r="B37" s="18" t="s">
        <v>46</v>
      </c>
      <c r="C37" s="17" t="s">
        <v>47</v>
      </c>
      <c r="D37" s="17" t="s">
        <v>120</v>
      </c>
      <c r="E37" s="17" t="s">
        <v>31</v>
      </c>
      <c r="F37" s="19"/>
      <c r="G37" s="20">
        <v>1.0</v>
      </c>
      <c r="H37" s="21">
        <v>330.0</v>
      </c>
      <c r="I37" s="21">
        <v>197.0</v>
      </c>
      <c r="J37" s="22">
        <v>420.0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121</v>
      </c>
      <c r="P37" t="s">
        <v>119</v>
      </c>
    </row>
    <row r="38" spans="1:16" customHeight="1" ht="58">
      <c r="A38" s="16"/>
      <c r="B38" s="18" t="s">
        <v>123</v>
      </c>
      <c r="C38" s="17" t="s">
        <v>124</v>
      </c>
      <c r="D38" s="17" t="s">
        <v>125</v>
      </c>
      <c r="E38" s="17" t="s">
        <v>31</v>
      </c>
      <c r="F38" s="19"/>
      <c r="G38" s="20">
        <v>1.0</v>
      </c>
      <c r="H38" s="21">
        <v>225.5</v>
      </c>
      <c r="I38" s="21">
        <v>141.0</v>
      </c>
      <c r="J38" s="22">
        <v>10.0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126</v>
      </c>
      <c r="P38" t="s">
        <v>122</v>
      </c>
    </row>
    <row r="39" spans="1:16" customHeight="1" ht="58">
      <c r="A39" s="16"/>
      <c r="B39" s="18" t="s">
        <v>123</v>
      </c>
      <c r="C39" s="17" t="s">
        <v>124</v>
      </c>
      <c r="D39" s="17" t="s">
        <v>128</v>
      </c>
      <c r="E39" s="17" t="s">
        <v>31</v>
      </c>
      <c r="F39" s="19"/>
      <c r="G39" s="20">
        <v>1.0</v>
      </c>
      <c r="H39" s="21">
        <v>225.5</v>
      </c>
      <c r="I39" s="21">
        <v>141.0</v>
      </c>
      <c r="J39" s="22">
        <v>30.0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129</v>
      </c>
      <c r="P39" t="s">
        <v>127</v>
      </c>
    </row>
    <row r="40" spans="1:16" customHeight="1" ht="58">
      <c r="A40" s="16"/>
      <c r="B40" s="18" t="s">
        <v>123</v>
      </c>
      <c r="C40" s="17" t="s">
        <v>124</v>
      </c>
      <c r="D40" s="17" t="s">
        <v>131</v>
      </c>
      <c r="E40" s="17" t="s">
        <v>31</v>
      </c>
      <c r="F40" s="19"/>
      <c r="G40" s="20">
        <v>1.0</v>
      </c>
      <c r="H40" s="21">
        <v>225.5</v>
      </c>
      <c r="I40" s="21">
        <v>141.0</v>
      </c>
      <c r="J40" s="22">
        <v>7.0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132</v>
      </c>
      <c r="P40" t="s">
        <v>130</v>
      </c>
    </row>
    <row r="41" spans="1:16" customHeight="1" ht="58">
      <c r="A41" s="16"/>
      <c r="B41" s="18" t="s">
        <v>134</v>
      </c>
      <c r="C41" s="17" t="s">
        <v>135</v>
      </c>
      <c r="D41" s="17" t="s">
        <v>136</v>
      </c>
      <c r="E41" s="17" t="s">
        <v>31</v>
      </c>
      <c r="F41" s="19"/>
      <c r="G41" s="20">
        <v>1.0</v>
      </c>
      <c r="H41" s="21">
        <v>341.0</v>
      </c>
      <c r="I41" s="21">
        <v>220.0</v>
      </c>
      <c r="J41" s="22">
        <v>28.0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137</v>
      </c>
      <c r="P41" t="s">
        <v>133</v>
      </c>
    </row>
    <row r="42" spans="1:16" customHeight="1" ht="58">
      <c r="A42" s="16"/>
      <c r="B42" s="18" t="s">
        <v>134</v>
      </c>
      <c r="C42" s="17" t="s">
        <v>135</v>
      </c>
      <c r="D42" s="17" t="s">
        <v>139</v>
      </c>
      <c r="E42" s="17" t="s">
        <v>31</v>
      </c>
      <c r="F42" s="19"/>
      <c r="G42" s="20">
        <v>1.0</v>
      </c>
      <c r="H42" s="21">
        <v>341.0</v>
      </c>
      <c r="I42" s="21">
        <v>220.0</v>
      </c>
      <c r="J42" s="22">
        <v>22.0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140</v>
      </c>
      <c r="P42" t="s">
        <v>138</v>
      </c>
    </row>
    <row r="43" spans="1:16" customHeight="1" ht="58">
      <c r="A43" s="16"/>
      <c r="B43" s="18" t="s">
        <v>142</v>
      </c>
      <c r="C43" s="17" t="s">
        <v>143</v>
      </c>
      <c r="D43" s="17" t="s">
        <v>144</v>
      </c>
      <c r="E43" s="17" t="s">
        <v>31</v>
      </c>
      <c r="F43" s="19"/>
      <c r="G43" s="20">
        <v>1.0</v>
      </c>
      <c r="H43" s="21">
        <v>319.0</v>
      </c>
      <c r="I43" s="21">
        <v>203.0</v>
      </c>
      <c r="J43" s="22">
        <v>39.0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145</v>
      </c>
      <c r="P43" t="s">
        <v>141</v>
      </c>
    </row>
    <row r="44" spans="1:16" customHeight="1" ht="58">
      <c r="A44" s="16"/>
      <c r="B44" s="18" t="s">
        <v>142</v>
      </c>
      <c r="C44" s="17" t="s">
        <v>143</v>
      </c>
      <c r="D44" s="17" t="s">
        <v>139</v>
      </c>
      <c r="E44" s="17" t="s">
        <v>31</v>
      </c>
      <c r="F44" s="19"/>
      <c r="G44" s="20">
        <v>1.0</v>
      </c>
      <c r="H44" s="21">
        <v>319.0</v>
      </c>
      <c r="I44" s="21">
        <v>203.0</v>
      </c>
      <c r="J44" s="22">
        <v>2.0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147</v>
      </c>
      <c r="P44" t="s">
        <v>146</v>
      </c>
    </row>
    <row r="45" spans="1:16" customHeight="1" ht="58">
      <c r="A45" s="16"/>
      <c r="B45" s="18" t="s">
        <v>149</v>
      </c>
      <c r="C45" s="17" t="s">
        <v>150</v>
      </c>
      <c r="D45" s="17" t="s">
        <v>151</v>
      </c>
      <c r="E45" s="17" t="s">
        <v>31</v>
      </c>
      <c r="F45" s="19"/>
      <c r="G45" s="20">
        <v>1.0</v>
      </c>
      <c r="H45" s="21">
        <v>341.0</v>
      </c>
      <c r="I45" s="21">
        <v>219.0</v>
      </c>
      <c r="J45" s="22">
        <v>19.0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152</v>
      </c>
      <c r="P45" t="s">
        <v>148</v>
      </c>
    </row>
    <row r="46" spans="1:16" customHeight="1" ht="58">
      <c r="A46" s="16"/>
      <c r="B46" s="18" t="s">
        <v>154</v>
      </c>
      <c r="C46" s="17" t="s">
        <v>9</v>
      </c>
      <c r="D46" s="17" t="s">
        <v>155</v>
      </c>
      <c r="E46" s="17" t="s">
        <v>156</v>
      </c>
      <c r="F46" s="19"/>
      <c r="G46" s="20">
        <v>1.0</v>
      </c>
      <c r="H46" s="21">
        <v>220.0</v>
      </c>
      <c r="I46" s="21">
        <v>136.0</v>
      </c>
      <c r="J46" s="22">
        <v>73.0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157</v>
      </c>
      <c r="P46" t="s">
        <v>153</v>
      </c>
    </row>
    <row r="47" spans="1:16" customHeight="1" ht="58">
      <c r="A47" s="16"/>
      <c r="B47" s="18" t="s">
        <v>154</v>
      </c>
      <c r="C47" s="17" t="s">
        <v>9</v>
      </c>
      <c r="D47" s="17" t="s">
        <v>159</v>
      </c>
      <c r="E47" s="17" t="s">
        <v>156</v>
      </c>
      <c r="F47" s="19"/>
      <c r="G47" s="20">
        <v>1.0</v>
      </c>
      <c r="H47" s="21">
        <v>220.0</v>
      </c>
      <c r="I47" s="21">
        <v>136.0</v>
      </c>
      <c r="J47" s="22">
        <v>55.0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160</v>
      </c>
      <c r="P47" t="s">
        <v>158</v>
      </c>
    </row>
    <row r="48" spans="1:16" customHeight="1" ht="58">
      <c r="A48" s="16"/>
      <c r="B48" s="18" t="s">
        <v>154</v>
      </c>
      <c r="C48" s="17" t="s">
        <v>9</v>
      </c>
      <c r="D48" s="17" t="s">
        <v>162</v>
      </c>
      <c r="E48" s="17" t="s">
        <v>156</v>
      </c>
      <c r="F48" s="19"/>
      <c r="G48" s="20">
        <v>1.0</v>
      </c>
      <c r="H48" s="21">
        <v>220.0</v>
      </c>
      <c r="I48" s="21">
        <v>136.0</v>
      </c>
      <c r="J48" s="22">
        <v>5.0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163</v>
      </c>
      <c r="P48" t="s">
        <v>161</v>
      </c>
    </row>
    <row r="49" spans="1:16" customHeight="1" ht="58">
      <c r="A49" s="16"/>
      <c r="B49" s="18" t="s">
        <v>154</v>
      </c>
      <c r="C49" s="17" t="s">
        <v>9</v>
      </c>
      <c r="D49" s="17" t="s">
        <v>165</v>
      </c>
      <c r="E49" s="17" t="s">
        <v>156</v>
      </c>
      <c r="F49" s="19"/>
      <c r="G49" s="20">
        <v>1.0</v>
      </c>
      <c r="H49" s="21">
        <v>220.0</v>
      </c>
      <c r="I49" s="21">
        <v>136.0</v>
      </c>
      <c r="J49" s="22">
        <v>8.0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166</v>
      </c>
      <c r="P49" t="s">
        <v>164</v>
      </c>
    </row>
    <row r="50" spans="1:16" customHeight="1" ht="58">
      <c r="A50" s="16"/>
      <c r="B50" s="18" t="s">
        <v>154</v>
      </c>
      <c r="C50" s="17" t="s">
        <v>9</v>
      </c>
      <c r="D50" s="17" t="s">
        <v>168</v>
      </c>
      <c r="E50" s="17" t="s">
        <v>156</v>
      </c>
      <c r="F50" s="19"/>
      <c r="G50" s="20">
        <v>1.0</v>
      </c>
      <c r="H50" s="21">
        <v>220.0</v>
      </c>
      <c r="I50" s="21">
        <v>136.0</v>
      </c>
      <c r="J50" s="22">
        <v>150.0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169</v>
      </c>
      <c r="P50" t="s">
        <v>167</v>
      </c>
    </row>
    <row r="51" spans="1:16" customHeight="1" ht="58">
      <c r="A51" s="16"/>
      <c r="B51" s="18" t="s">
        <v>154</v>
      </c>
      <c r="C51" s="17" t="s">
        <v>9</v>
      </c>
      <c r="D51" s="17" t="s">
        <v>171</v>
      </c>
      <c r="E51" s="17" t="s">
        <v>156</v>
      </c>
      <c r="F51" s="19"/>
      <c r="G51" s="20">
        <v>1.0</v>
      </c>
      <c r="H51" s="21">
        <v>220.0</v>
      </c>
      <c r="I51" s="21">
        <v>136.0</v>
      </c>
      <c r="J51" s="22">
        <v>262.0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172</v>
      </c>
      <c r="P51" t="s">
        <v>170</v>
      </c>
    </row>
    <row r="52" spans="1:16" customHeight="1" ht="58">
      <c r="A52" s="16"/>
      <c r="B52" s="18" t="s">
        <v>154</v>
      </c>
      <c r="C52" s="17" t="s">
        <v>9</v>
      </c>
      <c r="D52" s="17" t="s">
        <v>174</v>
      </c>
      <c r="E52" s="17" t="s">
        <v>156</v>
      </c>
      <c r="F52" s="19"/>
      <c r="G52" s="20">
        <v>1.0</v>
      </c>
      <c r="H52" s="21">
        <v>220.0</v>
      </c>
      <c r="I52" s="21">
        <v>136.0</v>
      </c>
      <c r="J52" s="22">
        <v>93.0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175</v>
      </c>
      <c r="P52" t="s">
        <v>173</v>
      </c>
    </row>
    <row r="53" spans="1:16" customHeight="1" ht="58">
      <c r="A53" s="16"/>
      <c r="B53" s="18" t="s">
        <v>177</v>
      </c>
      <c r="C53" s="17" t="s">
        <v>9</v>
      </c>
      <c r="D53" s="17" t="s">
        <v>178</v>
      </c>
      <c r="E53" s="17" t="s">
        <v>179</v>
      </c>
      <c r="F53" s="19"/>
      <c r="G53" s="20">
        <v>1.0</v>
      </c>
      <c r="H53" s="21">
        <v>231.0</v>
      </c>
      <c r="I53" s="21">
        <v>150.0</v>
      </c>
      <c r="J53" s="22">
        <v>11.0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180</v>
      </c>
      <c r="P53" t="s">
        <v>176</v>
      </c>
    </row>
    <row r="54" spans="1:16" customHeight="1" ht="58">
      <c r="A54" s="16"/>
      <c r="B54" s="18" t="s">
        <v>177</v>
      </c>
      <c r="C54" s="17" t="s">
        <v>9</v>
      </c>
      <c r="D54" s="17" t="s">
        <v>182</v>
      </c>
      <c r="E54" s="17" t="s">
        <v>179</v>
      </c>
      <c r="F54" s="19"/>
      <c r="G54" s="20">
        <v>1.0</v>
      </c>
      <c r="H54" s="21">
        <v>231.0</v>
      </c>
      <c r="I54" s="21">
        <v>150.0</v>
      </c>
      <c r="J54" s="22">
        <v>20.0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183</v>
      </c>
      <c r="P54" t="s">
        <v>181</v>
      </c>
    </row>
    <row r="55" spans="1:16" customHeight="1" ht="58">
      <c r="A55" s="16"/>
      <c r="B55" s="18" t="s">
        <v>185</v>
      </c>
      <c r="C55" s="17" t="s">
        <v>9</v>
      </c>
      <c r="D55" s="17" t="s">
        <v>186</v>
      </c>
      <c r="E55" s="17" t="s">
        <v>187</v>
      </c>
      <c r="F55" s="19"/>
      <c r="G55" s="20">
        <v>1.0</v>
      </c>
      <c r="H55" s="21">
        <v>253.0</v>
      </c>
      <c r="I55" s="21">
        <v>155.0</v>
      </c>
      <c r="J55" s="22">
        <v>118.0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188</v>
      </c>
      <c r="P55" t="s">
        <v>184</v>
      </c>
    </row>
    <row r="56" spans="1:16" customHeight="1" ht="58">
      <c r="A56" s="16"/>
      <c r="B56" s="18" t="s">
        <v>185</v>
      </c>
      <c r="C56" s="17" t="s">
        <v>9</v>
      </c>
      <c r="D56" s="17" t="s">
        <v>190</v>
      </c>
      <c r="E56" s="17" t="s">
        <v>187</v>
      </c>
      <c r="F56" s="19"/>
      <c r="G56" s="20">
        <v>1.0</v>
      </c>
      <c r="H56" s="21">
        <v>253.0</v>
      </c>
      <c r="I56" s="21">
        <v>155.0</v>
      </c>
      <c r="J56" s="22">
        <v>1.0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191</v>
      </c>
      <c r="P56" t="s">
        <v>189</v>
      </c>
    </row>
    <row r="57" spans="1:16" customHeight="1" ht="58">
      <c r="A57" s="16"/>
      <c r="B57" s="18" t="s">
        <v>185</v>
      </c>
      <c r="C57" s="17" t="s">
        <v>9</v>
      </c>
      <c r="D57" s="17" t="s">
        <v>193</v>
      </c>
      <c r="E57" s="17" t="s">
        <v>187</v>
      </c>
      <c r="F57" s="19"/>
      <c r="G57" s="20">
        <v>1.0</v>
      </c>
      <c r="H57" s="21">
        <v>253.0</v>
      </c>
      <c r="I57" s="21">
        <v>155.0</v>
      </c>
      <c r="J57" s="22">
        <v>3.0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194</v>
      </c>
      <c r="P57" t="s">
        <v>192</v>
      </c>
    </row>
    <row r="58" spans="1:16" customHeight="1" ht="58">
      <c r="A58" s="16"/>
      <c r="B58" s="18" t="s">
        <v>185</v>
      </c>
      <c r="C58" s="17" t="s">
        <v>9</v>
      </c>
      <c r="D58" s="17" t="s">
        <v>196</v>
      </c>
      <c r="E58" s="17" t="s">
        <v>187</v>
      </c>
      <c r="F58" s="19"/>
      <c r="G58" s="20">
        <v>1.0</v>
      </c>
      <c r="H58" s="21">
        <v>253.0</v>
      </c>
      <c r="I58" s="21">
        <v>155.0</v>
      </c>
      <c r="J58" s="22">
        <v>10.0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197</v>
      </c>
      <c r="P58" t="s">
        <v>195</v>
      </c>
    </row>
    <row r="59" spans="1:16" customHeight="1" ht="58">
      <c r="A59" s="16"/>
      <c r="B59" s="18" t="s">
        <v>185</v>
      </c>
      <c r="C59" s="17" t="s">
        <v>9</v>
      </c>
      <c r="D59" s="17" t="s">
        <v>199</v>
      </c>
      <c r="E59" s="17" t="s">
        <v>187</v>
      </c>
      <c r="F59" s="19"/>
      <c r="G59" s="20">
        <v>1.0</v>
      </c>
      <c r="H59" s="21">
        <v>253.0</v>
      </c>
      <c r="I59" s="21">
        <v>155.0</v>
      </c>
      <c r="J59" s="22">
        <v>1.0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200</v>
      </c>
      <c r="P59" t="s">
        <v>198</v>
      </c>
    </row>
    <row r="60" spans="1:16" customHeight="1" ht="58">
      <c r="A60" s="16"/>
      <c r="B60" s="18" t="s">
        <v>185</v>
      </c>
      <c r="C60" s="17" t="s">
        <v>9</v>
      </c>
      <c r="D60" s="17" t="s">
        <v>202</v>
      </c>
      <c r="E60" s="17" t="s">
        <v>187</v>
      </c>
      <c r="F60" s="19"/>
      <c r="G60" s="20">
        <v>1.0</v>
      </c>
      <c r="H60" s="21">
        <v>253.0</v>
      </c>
      <c r="I60" s="21">
        <v>155.0</v>
      </c>
      <c r="J60" s="22">
        <v>12.0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203</v>
      </c>
      <c r="P60" t="s">
        <v>201</v>
      </c>
    </row>
    <row r="61" spans="1:16" customHeight="1" ht="58">
      <c r="A61" s="16"/>
      <c r="B61" s="18" t="s">
        <v>185</v>
      </c>
      <c r="C61" s="17" t="s">
        <v>9</v>
      </c>
      <c r="D61" s="17" t="s">
        <v>205</v>
      </c>
      <c r="E61" s="17" t="s">
        <v>187</v>
      </c>
      <c r="F61" s="19"/>
      <c r="G61" s="20">
        <v>1.0</v>
      </c>
      <c r="H61" s="21">
        <v>253.0</v>
      </c>
      <c r="I61" s="21">
        <v>155.0</v>
      </c>
      <c r="J61" s="22">
        <v>16.0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206</v>
      </c>
      <c r="P61" t="s">
        <v>204</v>
      </c>
    </row>
    <row r="62" spans="1:16" customHeight="1" ht="58">
      <c r="A62" s="16"/>
      <c r="B62" s="18" t="s">
        <v>185</v>
      </c>
      <c r="C62" s="17" t="s">
        <v>9</v>
      </c>
      <c r="D62" s="17" t="s">
        <v>208</v>
      </c>
      <c r="E62" s="17" t="s">
        <v>187</v>
      </c>
      <c r="F62" s="19"/>
      <c r="G62" s="20">
        <v>1.0</v>
      </c>
      <c r="H62" s="21">
        <v>253.0</v>
      </c>
      <c r="I62" s="21">
        <v>155.0</v>
      </c>
      <c r="J62" s="22">
        <v>110.0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209</v>
      </c>
      <c r="P62" t="s">
        <v>207</v>
      </c>
    </row>
    <row r="63" spans="1:16" customHeight="1" ht="58">
      <c r="A63" s="16"/>
      <c r="B63" s="18" t="s">
        <v>185</v>
      </c>
      <c r="C63" s="17" t="s">
        <v>9</v>
      </c>
      <c r="D63" s="17" t="s">
        <v>211</v>
      </c>
      <c r="E63" s="17" t="s">
        <v>187</v>
      </c>
      <c r="F63" s="19"/>
      <c r="G63" s="20">
        <v>1.0</v>
      </c>
      <c r="H63" s="21">
        <v>253.0</v>
      </c>
      <c r="I63" s="21">
        <v>155.0</v>
      </c>
      <c r="J63" s="22">
        <v>127.0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212</v>
      </c>
      <c r="P63" t="s">
        <v>210</v>
      </c>
    </row>
    <row r="64" spans="1:16" customHeight="1" ht="58">
      <c r="A64" s="16"/>
      <c r="B64" s="18" t="s">
        <v>185</v>
      </c>
      <c r="C64" s="17" t="s">
        <v>9</v>
      </c>
      <c r="D64" s="17" t="s">
        <v>214</v>
      </c>
      <c r="E64" s="17" t="s">
        <v>187</v>
      </c>
      <c r="F64" s="19"/>
      <c r="G64" s="20">
        <v>1.0</v>
      </c>
      <c r="H64" s="21">
        <v>253.0</v>
      </c>
      <c r="I64" s="21">
        <v>155.0</v>
      </c>
      <c r="J64" s="22">
        <v>192.0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215</v>
      </c>
      <c r="P64" t="s">
        <v>213</v>
      </c>
    </row>
    <row r="65" spans="1:16" customHeight="1" ht="58">
      <c r="A65" s="16"/>
      <c r="B65" s="18" t="s">
        <v>185</v>
      </c>
      <c r="C65" s="17" t="s">
        <v>9</v>
      </c>
      <c r="D65" s="17" t="s">
        <v>217</v>
      </c>
      <c r="E65" s="17" t="s">
        <v>187</v>
      </c>
      <c r="F65" s="19"/>
      <c r="G65" s="20">
        <v>1.0</v>
      </c>
      <c r="H65" s="21">
        <v>253.0</v>
      </c>
      <c r="I65" s="21">
        <v>155.0</v>
      </c>
      <c r="J65" s="22">
        <v>94.0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218</v>
      </c>
      <c r="P65" t="s">
        <v>216</v>
      </c>
    </row>
    <row r="66" spans="1:16" customHeight="1" ht="58">
      <c r="A66" s="16"/>
      <c r="B66" s="18" t="s">
        <v>185</v>
      </c>
      <c r="C66" s="17" t="s">
        <v>9</v>
      </c>
      <c r="D66" s="17" t="s">
        <v>220</v>
      </c>
      <c r="E66" s="17" t="s">
        <v>187</v>
      </c>
      <c r="F66" s="19"/>
      <c r="G66" s="20">
        <v>1.0</v>
      </c>
      <c r="H66" s="21">
        <v>253.0</v>
      </c>
      <c r="I66" s="21">
        <v>155.0</v>
      </c>
      <c r="J66" s="22">
        <v>19.0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221</v>
      </c>
      <c r="P66" t="s">
        <v>219</v>
      </c>
    </row>
    <row r="67" spans="1:16" customHeight="1" ht="58">
      <c r="A67" s="16"/>
      <c r="B67" s="18" t="s">
        <v>223</v>
      </c>
      <c r="C67" s="17" t="s">
        <v>9</v>
      </c>
      <c r="D67" s="17" t="s">
        <v>182</v>
      </c>
      <c r="E67" s="17" t="s">
        <v>224</v>
      </c>
      <c r="F67" s="19"/>
      <c r="G67" s="20">
        <v>1.0</v>
      </c>
      <c r="H67" s="21">
        <v>275.0</v>
      </c>
      <c r="I67" s="21">
        <v>176.0</v>
      </c>
      <c r="J67" s="22">
        <v>16.0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225</v>
      </c>
      <c r="P67" t="s">
        <v>222</v>
      </c>
    </row>
    <row r="68" spans="1:16" customHeight="1" ht="58">
      <c r="A68" s="16"/>
      <c r="B68" s="18" t="s">
        <v>223</v>
      </c>
      <c r="C68" s="17" t="s">
        <v>9</v>
      </c>
      <c r="D68" s="17" t="s">
        <v>227</v>
      </c>
      <c r="E68" s="17" t="s">
        <v>224</v>
      </c>
      <c r="F68" s="19"/>
      <c r="G68" s="20">
        <v>1.0</v>
      </c>
      <c r="H68" s="21">
        <v>275.0</v>
      </c>
      <c r="I68" s="21">
        <v>176.0</v>
      </c>
      <c r="J68" s="22">
        <v>106.0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228</v>
      </c>
      <c r="P68" t="s">
        <v>226</v>
      </c>
    </row>
    <row r="69" spans="1:16" customHeight="1" ht="58">
      <c r="A69" s="16"/>
      <c r="B69" s="18" t="s">
        <v>223</v>
      </c>
      <c r="C69" s="17" t="s">
        <v>9</v>
      </c>
      <c r="D69" s="17" t="s">
        <v>178</v>
      </c>
      <c r="E69" s="17" t="s">
        <v>224</v>
      </c>
      <c r="F69" s="19"/>
      <c r="G69" s="20">
        <v>1.0</v>
      </c>
      <c r="H69" s="21">
        <v>275.0</v>
      </c>
      <c r="I69" s="21">
        <v>176.0</v>
      </c>
      <c r="J69" s="22">
        <v>18.0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230</v>
      </c>
      <c r="P69" t="s">
        <v>229</v>
      </c>
    </row>
    <row r="70" spans="1:16" customHeight="1" ht="58">
      <c r="A70" s="16"/>
      <c r="B70" s="18" t="s">
        <v>232</v>
      </c>
      <c r="C70" s="17" t="s">
        <v>9</v>
      </c>
      <c r="D70" s="17" t="s">
        <v>233</v>
      </c>
      <c r="E70" s="17" t="s">
        <v>234</v>
      </c>
      <c r="F70" s="19"/>
      <c r="G70" s="20">
        <v>1.0</v>
      </c>
      <c r="H70" s="21">
        <v>286.0</v>
      </c>
      <c r="I70" s="21">
        <v>182.0</v>
      </c>
      <c r="J70" s="22">
        <v>62.0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235</v>
      </c>
      <c r="P70" t="s">
        <v>231</v>
      </c>
    </row>
    <row r="71" spans="1:16" customHeight="1" ht="58">
      <c r="A71" s="16"/>
      <c r="B71" s="18" t="s">
        <v>237</v>
      </c>
      <c r="C71" s="17" t="s">
        <v>9</v>
      </c>
      <c r="D71" s="17" t="s">
        <v>238</v>
      </c>
      <c r="E71" s="17" t="s">
        <v>239</v>
      </c>
      <c r="F71" s="19"/>
      <c r="G71" s="20">
        <v>1.0</v>
      </c>
      <c r="H71" s="21">
        <v>253.0</v>
      </c>
      <c r="I71" s="21">
        <v>156.0</v>
      </c>
      <c r="J71" s="22">
        <v>1.0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240</v>
      </c>
      <c r="P71" t="s">
        <v>236</v>
      </c>
    </row>
    <row r="72" spans="1:16" customHeight="1" ht="58">
      <c r="A72" s="16"/>
      <c r="B72" s="18" t="s">
        <v>237</v>
      </c>
      <c r="C72" s="17" t="s">
        <v>9</v>
      </c>
      <c r="D72" s="17" t="s">
        <v>242</v>
      </c>
      <c r="E72" s="17" t="s">
        <v>239</v>
      </c>
      <c r="F72" s="19"/>
      <c r="G72" s="20">
        <v>1.0</v>
      </c>
      <c r="H72" s="21">
        <v>253.0</v>
      </c>
      <c r="I72" s="21">
        <v>156.0</v>
      </c>
      <c r="J72" s="22">
        <v>8.0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243</v>
      </c>
      <c r="P72" t="s">
        <v>241</v>
      </c>
    </row>
    <row r="73" spans="1:16" customHeight="1" ht="58">
      <c r="A73" s="16"/>
      <c r="B73" s="18" t="s">
        <v>237</v>
      </c>
      <c r="C73" s="17" t="s">
        <v>9</v>
      </c>
      <c r="D73" s="17" t="s">
        <v>245</v>
      </c>
      <c r="E73" s="17" t="s">
        <v>239</v>
      </c>
      <c r="F73" s="19"/>
      <c r="G73" s="20">
        <v>1.0</v>
      </c>
      <c r="H73" s="21">
        <v>253.0</v>
      </c>
      <c r="I73" s="21">
        <v>156.0</v>
      </c>
      <c r="J73" s="22">
        <v>9.0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246</v>
      </c>
      <c r="P73" t="s">
        <v>244</v>
      </c>
    </row>
    <row r="74" spans="1:16" customHeight="1" ht="58">
      <c r="A74" s="16"/>
      <c r="B74" s="18" t="s">
        <v>237</v>
      </c>
      <c r="C74" s="17" t="s">
        <v>9</v>
      </c>
      <c r="D74" s="17" t="s">
        <v>248</v>
      </c>
      <c r="E74" s="17" t="s">
        <v>239</v>
      </c>
      <c r="F74" s="19"/>
      <c r="G74" s="20">
        <v>1.0</v>
      </c>
      <c r="H74" s="21">
        <v>253.0</v>
      </c>
      <c r="I74" s="21">
        <v>156.0</v>
      </c>
      <c r="J74" s="22">
        <v>18.0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249</v>
      </c>
      <c r="P74" t="s">
        <v>247</v>
      </c>
    </row>
    <row r="75" spans="1:16" customHeight="1" ht="58">
      <c r="A75" s="16"/>
      <c r="B75" s="18" t="s">
        <v>237</v>
      </c>
      <c r="C75" s="17" t="s">
        <v>9</v>
      </c>
      <c r="D75" s="17" t="s">
        <v>182</v>
      </c>
      <c r="E75" s="17" t="s">
        <v>239</v>
      </c>
      <c r="F75" s="19"/>
      <c r="G75" s="20">
        <v>1.0</v>
      </c>
      <c r="H75" s="21">
        <v>253.0</v>
      </c>
      <c r="I75" s="21">
        <v>156.0</v>
      </c>
      <c r="J75" s="22">
        <v>2.0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251</v>
      </c>
      <c r="P75" t="s">
        <v>250</v>
      </c>
    </row>
    <row r="76" spans="1:16" customHeight="1" ht="58">
      <c r="A76" s="16"/>
      <c r="B76" s="18" t="s">
        <v>253</v>
      </c>
      <c r="C76" s="17" t="s">
        <v>9</v>
      </c>
      <c r="D76" s="17" t="s">
        <v>254</v>
      </c>
      <c r="E76" s="17" t="s">
        <v>255</v>
      </c>
      <c r="F76" s="19"/>
      <c r="G76" s="20">
        <v>1.0</v>
      </c>
      <c r="H76" s="21">
        <v>143.0</v>
      </c>
      <c r="I76" s="21">
        <v>88.0</v>
      </c>
      <c r="J76" s="22">
        <v>91.0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256</v>
      </c>
      <c r="P76" t="s">
        <v>252</v>
      </c>
    </row>
    <row r="77" spans="1:16" customHeight="1" ht="58">
      <c r="A77" s="16"/>
      <c r="B77" s="18" t="s">
        <v>253</v>
      </c>
      <c r="C77" s="17" t="s">
        <v>9</v>
      </c>
      <c r="D77" s="17" t="s">
        <v>258</v>
      </c>
      <c r="E77" s="17" t="s">
        <v>255</v>
      </c>
      <c r="F77" s="19"/>
      <c r="G77" s="20">
        <v>1.0</v>
      </c>
      <c r="H77" s="21">
        <v>143.0</v>
      </c>
      <c r="I77" s="21">
        <v>88.0</v>
      </c>
      <c r="J77" s="22">
        <v>35.0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259</v>
      </c>
      <c r="P77" t="s">
        <v>257</v>
      </c>
    </row>
    <row r="78" spans="1:16" customHeight="1" ht="58">
      <c r="A78" s="16"/>
      <c r="B78" s="18" t="s">
        <v>253</v>
      </c>
      <c r="C78" s="17" t="s">
        <v>9</v>
      </c>
      <c r="D78" s="17" t="s">
        <v>261</v>
      </c>
      <c r="E78" s="17" t="s">
        <v>255</v>
      </c>
      <c r="F78" s="19"/>
      <c r="G78" s="20">
        <v>1.0</v>
      </c>
      <c r="H78" s="21">
        <v>143.0</v>
      </c>
      <c r="I78" s="21">
        <v>88.0</v>
      </c>
      <c r="J78" s="22">
        <v>5.0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262</v>
      </c>
      <c r="P78" t="s">
        <v>260</v>
      </c>
    </row>
    <row r="79" spans="1:16" customHeight="1" ht="58">
      <c r="A79" s="16"/>
      <c r="B79" s="18" t="s">
        <v>253</v>
      </c>
      <c r="C79" s="17" t="s">
        <v>9</v>
      </c>
      <c r="D79" s="17" t="s">
        <v>264</v>
      </c>
      <c r="E79" s="17" t="s">
        <v>255</v>
      </c>
      <c r="F79" s="19"/>
      <c r="G79" s="20">
        <v>1.0</v>
      </c>
      <c r="H79" s="21">
        <v>143.0</v>
      </c>
      <c r="I79" s="21">
        <v>88.0</v>
      </c>
      <c r="J79" s="22">
        <v>25.0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265</v>
      </c>
      <c r="P79" t="s">
        <v>263</v>
      </c>
    </row>
    <row r="80" spans="1:16" customHeight="1" ht="58">
      <c r="A80" s="16"/>
      <c r="B80" s="18" t="s">
        <v>253</v>
      </c>
      <c r="C80" s="17" t="s">
        <v>9</v>
      </c>
      <c r="D80" s="17" t="s">
        <v>267</v>
      </c>
      <c r="E80" s="17" t="s">
        <v>255</v>
      </c>
      <c r="F80" s="19"/>
      <c r="G80" s="20">
        <v>1.0</v>
      </c>
      <c r="H80" s="21">
        <v>143.0</v>
      </c>
      <c r="I80" s="21">
        <v>88.0</v>
      </c>
      <c r="J80" s="22">
        <v>30.0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268</v>
      </c>
      <c r="P80" t="s">
        <v>266</v>
      </c>
    </row>
    <row r="81" spans="1:16" customHeight="1" ht="58">
      <c r="A81" s="16"/>
      <c r="B81" s="18" t="s">
        <v>253</v>
      </c>
      <c r="C81" s="17" t="s">
        <v>9</v>
      </c>
      <c r="D81" s="17" t="s">
        <v>270</v>
      </c>
      <c r="E81" s="17" t="s">
        <v>255</v>
      </c>
      <c r="F81" s="19"/>
      <c r="G81" s="20">
        <v>1.0</v>
      </c>
      <c r="H81" s="21">
        <v>143.0</v>
      </c>
      <c r="I81" s="21">
        <v>88.0</v>
      </c>
      <c r="J81" s="22">
        <v>53.0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271</v>
      </c>
      <c r="P81" t="s">
        <v>269</v>
      </c>
    </row>
    <row r="82" spans="1:16" customHeight="1" ht="58">
      <c r="A82" s="16"/>
      <c r="B82" s="18" t="s">
        <v>253</v>
      </c>
      <c r="C82" s="17" t="s">
        <v>9</v>
      </c>
      <c r="D82" s="17" t="s">
        <v>273</v>
      </c>
      <c r="E82" s="17" t="s">
        <v>255</v>
      </c>
      <c r="F82" s="19"/>
      <c r="G82" s="20">
        <v>1.0</v>
      </c>
      <c r="H82" s="21">
        <v>143.0</v>
      </c>
      <c r="I82" s="21">
        <v>88.0</v>
      </c>
      <c r="J82" s="22">
        <v>138.0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274</v>
      </c>
      <c r="P82" t="s">
        <v>272</v>
      </c>
    </row>
    <row r="83" spans="1:16" customHeight="1" ht="58">
      <c r="A83" s="16"/>
      <c r="B83" s="18" t="s">
        <v>276</v>
      </c>
      <c r="C83" s="17" t="s">
        <v>9</v>
      </c>
      <c r="D83" s="17" t="s">
        <v>270</v>
      </c>
      <c r="E83" s="17" t="s">
        <v>277</v>
      </c>
      <c r="F83" s="19"/>
      <c r="G83" s="20">
        <v>1.0</v>
      </c>
      <c r="H83" s="21">
        <v>143.0</v>
      </c>
      <c r="I83" s="21">
        <v>88.0</v>
      </c>
      <c r="J83" s="22">
        <v>13.0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278</v>
      </c>
      <c r="P83" t="s">
        <v>275</v>
      </c>
    </row>
    <row r="84" spans="1:16" customHeight="1" ht="58">
      <c r="A84" s="16"/>
      <c r="B84" s="18" t="s">
        <v>276</v>
      </c>
      <c r="C84" s="17" t="s">
        <v>9</v>
      </c>
      <c r="D84" s="17" t="s">
        <v>258</v>
      </c>
      <c r="E84" s="17" t="s">
        <v>277</v>
      </c>
      <c r="F84" s="19"/>
      <c r="G84" s="20">
        <v>1.0</v>
      </c>
      <c r="H84" s="21">
        <v>143.0</v>
      </c>
      <c r="I84" s="21">
        <v>88.0</v>
      </c>
      <c r="J84" s="22">
        <v>77.0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280</v>
      </c>
      <c r="P84" t="s">
        <v>279</v>
      </c>
    </row>
    <row r="85" spans="1:16" customHeight="1" ht="58">
      <c r="A85" s="16"/>
      <c r="B85" s="18" t="s">
        <v>276</v>
      </c>
      <c r="C85" s="17" t="s">
        <v>9</v>
      </c>
      <c r="D85" s="17" t="s">
        <v>282</v>
      </c>
      <c r="E85" s="17" t="s">
        <v>277</v>
      </c>
      <c r="F85" s="19"/>
      <c r="G85" s="20">
        <v>1.0</v>
      </c>
      <c r="H85" s="21">
        <v>143.0</v>
      </c>
      <c r="I85" s="21">
        <v>88.0</v>
      </c>
      <c r="J85" s="22">
        <v>157.0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283</v>
      </c>
      <c r="P85" t="s">
        <v>281</v>
      </c>
    </row>
    <row r="86" spans="1:16" customHeight="1" ht="58">
      <c r="A86" s="16"/>
      <c r="B86" s="18" t="s">
        <v>276</v>
      </c>
      <c r="C86" s="17" t="s">
        <v>9</v>
      </c>
      <c r="D86" s="17" t="s">
        <v>254</v>
      </c>
      <c r="E86" s="17" t="s">
        <v>277</v>
      </c>
      <c r="F86" s="19"/>
      <c r="G86" s="20">
        <v>1.0</v>
      </c>
      <c r="H86" s="21">
        <v>143.0</v>
      </c>
      <c r="I86" s="21">
        <v>88.0</v>
      </c>
      <c r="J86" s="22">
        <v>69.0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285</v>
      </c>
      <c r="P86" t="s">
        <v>284</v>
      </c>
    </row>
    <row r="87" spans="1:16" customHeight="1" ht="58">
      <c r="A87" s="16"/>
      <c r="B87" s="18" t="s">
        <v>287</v>
      </c>
      <c r="C87" s="17" t="s">
        <v>9</v>
      </c>
      <c r="D87" s="17" t="s">
        <v>264</v>
      </c>
      <c r="E87" s="17" t="s">
        <v>288</v>
      </c>
      <c r="F87" s="19"/>
      <c r="G87" s="20">
        <v>1.0</v>
      </c>
      <c r="H87" s="21">
        <v>209.0</v>
      </c>
      <c r="I87" s="21">
        <v>134.0</v>
      </c>
      <c r="J87" s="22">
        <v>8.0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289</v>
      </c>
      <c r="P87" t="s">
        <v>286</v>
      </c>
    </row>
    <row r="88" spans="1:16" customHeight="1" ht="58">
      <c r="A88" s="16"/>
      <c r="B88" s="18" t="s">
        <v>287</v>
      </c>
      <c r="C88" s="17" t="s">
        <v>9</v>
      </c>
      <c r="D88" s="17" t="s">
        <v>282</v>
      </c>
      <c r="E88" s="17" t="s">
        <v>288</v>
      </c>
      <c r="F88" s="19"/>
      <c r="G88" s="20">
        <v>1.0</v>
      </c>
      <c r="H88" s="21">
        <v>154.0</v>
      </c>
      <c r="I88" s="21">
        <v>95.0</v>
      </c>
      <c r="J88" s="22">
        <v>49.0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291</v>
      </c>
      <c r="P88" t="s">
        <v>290</v>
      </c>
    </row>
    <row r="89" spans="1:16" customHeight="1" ht="58">
      <c r="A89" s="16"/>
      <c r="B89" s="18" t="s">
        <v>293</v>
      </c>
      <c r="C89" s="17" t="s">
        <v>9</v>
      </c>
      <c r="D89" s="17" t="s">
        <v>294</v>
      </c>
      <c r="E89" s="17" t="s">
        <v>295</v>
      </c>
      <c r="F89" s="19"/>
      <c r="G89" s="20">
        <v>1.0</v>
      </c>
      <c r="H89" s="21">
        <v>220.0</v>
      </c>
      <c r="I89" s="21">
        <v>138.0</v>
      </c>
      <c r="J89" s="22">
        <v>71.0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296</v>
      </c>
      <c r="P89" t="s">
        <v>292</v>
      </c>
    </row>
    <row r="90" spans="1:16" customHeight="1" ht="58">
      <c r="A90" s="16"/>
      <c r="B90" s="18" t="s">
        <v>298</v>
      </c>
      <c r="C90" s="17" t="s">
        <v>9</v>
      </c>
      <c r="D90" s="17" t="s">
        <v>299</v>
      </c>
      <c r="E90" s="17" t="s">
        <v>300</v>
      </c>
      <c r="F90" s="19"/>
      <c r="G90" s="20">
        <v>1.0</v>
      </c>
      <c r="H90" s="21">
        <v>187.0</v>
      </c>
      <c r="I90" s="21">
        <v>113.0</v>
      </c>
      <c r="J90" s="22">
        <v>3.0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301</v>
      </c>
      <c r="P90" t="s">
        <v>297</v>
      </c>
    </row>
    <row r="91" spans="1:16" customHeight="1" ht="58">
      <c r="A91" s="16"/>
      <c r="B91" s="18" t="s">
        <v>298</v>
      </c>
      <c r="C91" s="17" t="s">
        <v>9</v>
      </c>
      <c r="D91" s="17" t="s">
        <v>303</v>
      </c>
      <c r="E91" s="17" t="s">
        <v>300</v>
      </c>
      <c r="F91" s="19"/>
      <c r="G91" s="20">
        <v>1.0</v>
      </c>
      <c r="H91" s="21">
        <v>187.0</v>
      </c>
      <c r="I91" s="21">
        <v>113.0</v>
      </c>
      <c r="J91" s="22">
        <v>30.0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304</v>
      </c>
      <c r="P91" t="s">
        <v>302</v>
      </c>
    </row>
    <row r="92" spans="1:16" customHeight="1" ht="58">
      <c r="A92" s="16"/>
      <c r="B92" s="18" t="s">
        <v>306</v>
      </c>
      <c r="C92" s="17" t="s">
        <v>9</v>
      </c>
      <c r="D92" s="17" t="s">
        <v>307</v>
      </c>
      <c r="E92" s="17" t="s">
        <v>308</v>
      </c>
      <c r="F92" s="19"/>
      <c r="G92" s="20">
        <v>1.0</v>
      </c>
      <c r="H92" s="21">
        <v>187.0</v>
      </c>
      <c r="I92" s="21">
        <v>120.0</v>
      </c>
      <c r="J92" s="22">
        <v>75.0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309</v>
      </c>
      <c r="P92" t="s">
        <v>305</v>
      </c>
    </row>
    <row r="93" spans="1:16" customHeight="1" ht="58">
      <c r="A93" s="16"/>
      <c r="B93" s="18" t="s">
        <v>306</v>
      </c>
      <c r="C93" s="17" t="s">
        <v>9</v>
      </c>
      <c r="D93" s="17" t="s">
        <v>311</v>
      </c>
      <c r="E93" s="17" t="s">
        <v>308</v>
      </c>
      <c r="F93" s="19"/>
      <c r="G93" s="20">
        <v>1.0</v>
      </c>
      <c r="H93" s="21">
        <v>187.0</v>
      </c>
      <c r="I93" s="21">
        <v>120.0</v>
      </c>
      <c r="J93" s="22">
        <v>8.0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312</v>
      </c>
      <c r="P93" t="s">
        <v>310</v>
      </c>
    </row>
    <row r="94" spans="1:16" customHeight="1" ht="58">
      <c r="A94" s="16"/>
      <c r="B94" s="18" t="s">
        <v>306</v>
      </c>
      <c r="C94" s="17" t="s">
        <v>9</v>
      </c>
      <c r="D94" s="17" t="s">
        <v>314</v>
      </c>
      <c r="E94" s="17" t="s">
        <v>308</v>
      </c>
      <c r="F94" s="19"/>
      <c r="G94" s="20">
        <v>1.0</v>
      </c>
      <c r="H94" s="21">
        <v>187.0</v>
      </c>
      <c r="I94" s="21">
        <v>120.0</v>
      </c>
      <c r="J94" s="22">
        <v>29.0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315</v>
      </c>
      <c r="P94" t="s">
        <v>313</v>
      </c>
    </row>
    <row r="95" spans="1:16" customHeight="1" ht="58">
      <c r="A95" s="16"/>
      <c r="B95" s="18" t="s">
        <v>306</v>
      </c>
      <c r="C95" s="17" t="s">
        <v>9</v>
      </c>
      <c r="D95" s="17" t="s">
        <v>267</v>
      </c>
      <c r="E95" s="17" t="s">
        <v>308</v>
      </c>
      <c r="F95" s="19"/>
      <c r="G95" s="20">
        <v>1.0</v>
      </c>
      <c r="H95" s="21">
        <v>187.0</v>
      </c>
      <c r="I95" s="21">
        <v>120.0</v>
      </c>
      <c r="J95" s="22">
        <v>95.0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317</v>
      </c>
      <c r="P95" t="s">
        <v>316</v>
      </c>
    </row>
    <row r="96" spans="1:16" customHeight="1" ht="58">
      <c r="A96" s="16"/>
      <c r="B96" s="18" t="s">
        <v>306</v>
      </c>
      <c r="C96" s="17" t="s">
        <v>9</v>
      </c>
      <c r="D96" s="17" t="s">
        <v>319</v>
      </c>
      <c r="E96" s="17" t="s">
        <v>308</v>
      </c>
      <c r="F96" s="19"/>
      <c r="G96" s="20">
        <v>1.0</v>
      </c>
      <c r="H96" s="21">
        <v>187.0</v>
      </c>
      <c r="I96" s="21">
        <v>120.0</v>
      </c>
      <c r="J96" s="22">
        <v>116.0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320</v>
      </c>
      <c r="P96" t="s">
        <v>318</v>
      </c>
    </row>
    <row r="97" spans="1:16" customHeight="1" ht="58">
      <c r="A97" s="16"/>
      <c r="B97" s="18" t="s">
        <v>306</v>
      </c>
      <c r="C97" s="17" t="s">
        <v>9</v>
      </c>
      <c r="D97" s="17" t="s">
        <v>270</v>
      </c>
      <c r="E97" s="17" t="s">
        <v>308</v>
      </c>
      <c r="F97" s="19"/>
      <c r="G97" s="20">
        <v>1.0</v>
      </c>
      <c r="H97" s="21">
        <v>187.0</v>
      </c>
      <c r="I97" s="21">
        <v>120.0</v>
      </c>
      <c r="J97" s="22">
        <v>10.0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322</v>
      </c>
      <c r="P97" t="s">
        <v>321</v>
      </c>
    </row>
    <row r="98" spans="1:16" customHeight="1" ht="58">
      <c r="A98" s="16"/>
      <c r="B98" s="18" t="s">
        <v>306</v>
      </c>
      <c r="C98" s="17" t="s">
        <v>9</v>
      </c>
      <c r="D98" s="17" t="s">
        <v>324</v>
      </c>
      <c r="E98" s="17" t="s">
        <v>308</v>
      </c>
      <c r="F98" s="19"/>
      <c r="G98" s="20">
        <v>1.0</v>
      </c>
      <c r="H98" s="21">
        <v>187.0</v>
      </c>
      <c r="I98" s="21">
        <v>120.0</v>
      </c>
      <c r="J98" s="22">
        <v>60.0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325</v>
      </c>
      <c r="P98" t="s">
        <v>323</v>
      </c>
    </row>
    <row r="99" spans="1:16" customHeight="1" ht="58">
      <c r="A99" s="16"/>
      <c r="B99" s="18" t="s">
        <v>306</v>
      </c>
      <c r="C99" s="17" t="s">
        <v>9</v>
      </c>
      <c r="D99" s="17" t="s">
        <v>273</v>
      </c>
      <c r="E99" s="17" t="s">
        <v>308</v>
      </c>
      <c r="F99" s="19"/>
      <c r="G99" s="20">
        <v>1.0</v>
      </c>
      <c r="H99" s="21">
        <v>187.0</v>
      </c>
      <c r="I99" s="21">
        <v>120.0</v>
      </c>
      <c r="J99" s="22">
        <v>4.0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327</v>
      </c>
      <c r="P99" t="s">
        <v>326</v>
      </c>
    </row>
    <row r="100" spans="1:16" customHeight="1" ht="58">
      <c r="A100" s="16"/>
      <c r="B100" s="18" t="s">
        <v>306</v>
      </c>
      <c r="C100" s="17" t="s">
        <v>9</v>
      </c>
      <c r="D100" s="17" t="s">
        <v>282</v>
      </c>
      <c r="E100" s="17" t="s">
        <v>308</v>
      </c>
      <c r="F100" s="19"/>
      <c r="G100" s="20">
        <v>1.0</v>
      </c>
      <c r="H100" s="21">
        <v>187.0</v>
      </c>
      <c r="I100" s="21">
        <v>120.0</v>
      </c>
      <c r="J100" s="22">
        <v>12.0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329</v>
      </c>
      <c r="P100" t="s">
        <v>328</v>
      </c>
    </row>
    <row r="101" spans="1:16" customHeight="1" ht="58">
      <c r="A101" s="16"/>
      <c r="B101" s="18" t="s">
        <v>306</v>
      </c>
      <c r="C101" s="17" t="s">
        <v>9</v>
      </c>
      <c r="D101" s="17" t="s">
        <v>331</v>
      </c>
      <c r="E101" s="17" t="s">
        <v>308</v>
      </c>
      <c r="F101" s="19"/>
      <c r="G101" s="20">
        <v>1.0</v>
      </c>
      <c r="H101" s="21">
        <v>187.0</v>
      </c>
      <c r="I101" s="21">
        <v>120.0</v>
      </c>
      <c r="J101" s="22">
        <v>469.0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332</v>
      </c>
      <c r="P101" t="s">
        <v>330</v>
      </c>
    </row>
    <row r="102" spans="1:16" customHeight="1" ht="58">
      <c r="A102" s="16"/>
      <c r="B102" s="18" t="s">
        <v>306</v>
      </c>
      <c r="C102" s="17" t="s">
        <v>9</v>
      </c>
      <c r="D102" s="17" t="s">
        <v>261</v>
      </c>
      <c r="E102" s="17" t="s">
        <v>308</v>
      </c>
      <c r="F102" s="19"/>
      <c r="G102" s="20">
        <v>1.0</v>
      </c>
      <c r="H102" s="21">
        <v>187.0</v>
      </c>
      <c r="I102" s="21">
        <v>120.0</v>
      </c>
      <c r="J102" s="22">
        <v>128.0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334</v>
      </c>
      <c r="P102" t="s">
        <v>333</v>
      </c>
    </row>
    <row r="103" spans="1:16" customHeight="1" ht="58">
      <c r="A103" s="16"/>
      <c r="B103" s="18" t="s">
        <v>306</v>
      </c>
      <c r="C103" s="17" t="s">
        <v>9</v>
      </c>
      <c r="D103" s="17" t="s">
        <v>336</v>
      </c>
      <c r="E103" s="17" t="s">
        <v>308</v>
      </c>
      <c r="F103" s="19"/>
      <c r="G103" s="20">
        <v>1.0</v>
      </c>
      <c r="H103" s="21">
        <v>187.0</v>
      </c>
      <c r="I103" s="21">
        <v>120.0</v>
      </c>
      <c r="J103" s="22">
        <v>118.0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337</v>
      </c>
      <c r="P103" t="s">
        <v>335</v>
      </c>
    </row>
    <row r="104" spans="1:16" customHeight="1" ht="58">
      <c r="A104" s="16"/>
      <c r="B104" s="18" t="s">
        <v>306</v>
      </c>
      <c r="C104" s="17" t="s">
        <v>9</v>
      </c>
      <c r="D104" s="17" t="s">
        <v>339</v>
      </c>
      <c r="E104" s="17" t="s">
        <v>308</v>
      </c>
      <c r="F104" s="19"/>
      <c r="G104" s="20">
        <v>1.0</v>
      </c>
      <c r="H104" s="21">
        <v>187.0</v>
      </c>
      <c r="I104" s="21">
        <v>120.0</v>
      </c>
      <c r="J104" s="22">
        <v>376.0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340</v>
      </c>
      <c r="P104" t="s">
        <v>338</v>
      </c>
    </row>
    <row r="105" spans="1:16" customHeight="1" ht="58">
      <c r="A105" s="16"/>
      <c r="B105" s="18" t="s">
        <v>306</v>
      </c>
      <c r="C105" s="17" t="s">
        <v>9</v>
      </c>
      <c r="D105" s="17" t="s">
        <v>342</v>
      </c>
      <c r="E105" s="17" t="s">
        <v>308</v>
      </c>
      <c r="F105" s="19"/>
      <c r="G105" s="20">
        <v>1.0</v>
      </c>
      <c r="H105" s="21">
        <v>187.0</v>
      </c>
      <c r="I105" s="21">
        <v>120.0</v>
      </c>
      <c r="J105" s="22">
        <v>253.0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343</v>
      </c>
      <c r="P105" t="s">
        <v>341</v>
      </c>
    </row>
    <row r="106" spans="1:16" customHeight="1" ht="58">
      <c r="A106" s="16"/>
      <c r="B106" s="18" t="s">
        <v>306</v>
      </c>
      <c r="C106" s="17" t="s">
        <v>9</v>
      </c>
      <c r="D106" s="17" t="s">
        <v>345</v>
      </c>
      <c r="E106" s="17" t="s">
        <v>308</v>
      </c>
      <c r="F106" s="19"/>
      <c r="G106" s="20">
        <v>1.0</v>
      </c>
      <c r="H106" s="21">
        <v>187.0</v>
      </c>
      <c r="I106" s="21">
        <v>120.0</v>
      </c>
      <c r="J106" s="22">
        <v>104.0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346</v>
      </c>
      <c r="P106" t="s">
        <v>344</v>
      </c>
    </row>
    <row r="107" spans="1:16" customHeight="1" ht="58">
      <c r="A107" s="16"/>
      <c r="B107" s="18" t="s">
        <v>306</v>
      </c>
      <c r="C107" s="17" t="s">
        <v>9</v>
      </c>
      <c r="D107" s="17" t="s">
        <v>264</v>
      </c>
      <c r="E107" s="17" t="s">
        <v>308</v>
      </c>
      <c r="F107" s="19"/>
      <c r="G107" s="20">
        <v>1.0</v>
      </c>
      <c r="H107" s="21">
        <v>187.0</v>
      </c>
      <c r="I107" s="21">
        <v>120.0</v>
      </c>
      <c r="J107" s="22">
        <v>41.0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348</v>
      </c>
      <c r="P107" t="s">
        <v>347</v>
      </c>
    </row>
    <row r="108" spans="1:16" customHeight="1" ht="58">
      <c r="A108" s="16"/>
      <c r="B108" s="18" t="s">
        <v>350</v>
      </c>
      <c r="C108" s="17" t="s">
        <v>351</v>
      </c>
      <c r="D108" s="17" t="s">
        <v>352</v>
      </c>
      <c r="E108" s="17" t="s">
        <v>353</v>
      </c>
      <c r="F108" s="19"/>
      <c r="G108" s="20">
        <v>1.0</v>
      </c>
      <c r="H108" s="21">
        <v>374.0</v>
      </c>
      <c r="I108" s="21">
        <v>243.0</v>
      </c>
      <c r="J108" s="22">
        <v>4.0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354</v>
      </c>
      <c r="P108" t="s">
        <v>349</v>
      </c>
    </row>
    <row r="109" spans="1:16" customHeight="1" ht="58">
      <c r="A109" s="16"/>
      <c r="B109" s="18" t="s">
        <v>350</v>
      </c>
      <c r="C109" s="17" t="s">
        <v>351</v>
      </c>
      <c r="D109" s="17" t="s">
        <v>356</v>
      </c>
      <c r="E109" s="17" t="s">
        <v>353</v>
      </c>
      <c r="F109" s="19"/>
      <c r="G109" s="20">
        <v>1.0</v>
      </c>
      <c r="H109" s="21">
        <v>374.0</v>
      </c>
      <c r="I109" s="21">
        <v>243.0</v>
      </c>
      <c r="J109" s="22">
        <v>57.0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357</v>
      </c>
      <c r="P109" t="s">
        <v>355</v>
      </c>
    </row>
    <row r="110" spans="1:16" customHeight="1" ht="58">
      <c r="A110" s="16"/>
      <c r="B110" s="18" t="s">
        <v>359</v>
      </c>
      <c r="C110" s="17" t="s">
        <v>360</v>
      </c>
      <c r="D110" s="17" t="s">
        <v>356</v>
      </c>
      <c r="E110" s="17" t="s">
        <v>31</v>
      </c>
      <c r="F110" s="19"/>
      <c r="G110" s="20">
        <v>1.0</v>
      </c>
      <c r="H110" s="21">
        <v>330.0</v>
      </c>
      <c r="I110" s="21">
        <v>215.0</v>
      </c>
      <c r="J110" s="22">
        <v>6.0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361</v>
      </c>
      <c r="P110" t="s">
        <v>358</v>
      </c>
    </row>
    <row r="111" spans="1:16" customHeight="1" ht="58">
      <c r="A111" s="16"/>
      <c r="B111" s="18" t="s">
        <v>359</v>
      </c>
      <c r="C111" s="17" t="s">
        <v>360</v>
      </c>
      <c r="D111" s="17" t="s">
        <v>363</v>
      </c>
      <c r="E111" s="17" t="s">
        <v>31</v>
      </c>
      <c r="F111" s="19"/>
      <c r="G111" s="20">
        <v>1.0</v>
      </c>
      <c r="H111" s="21">
        <v>330.0</v>
      </c>
      <c r="I111" s="21">
        <v>215.0</v>
      </c>
      <c r="J111" s="22">
        <v>39.0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364</v>
      </c>
      <c r="P111" t="s">
        <v>362</v>
      </c>
    </row>
    <row r="112" spans="1:16" customHeight="1" ht="58">
      <c r="A112" s="16"/>
      <c r="B112" s="18" t="s">
        <v>366</v>
      </c>
      <c r="C112" s="17" t="s">
        <v>367</v>
      </c>
      <c r="D112" s="17" t="s">
        <v>368</v>
      </c>
      <c r="E112" s="17" t="s">
        <v>369</v>
      </c>
      <c r="F112" s="19"/>
      <c r="G112" s="20">
        <v>1.0</v>
      </c>
      <c r="H112" s="21">
        <v>286.0</v>
      </c>
      <c r="I112" s="21">
        <v>192.0</v>
      </c>
      <c r="J112" s="22">
        <v>408.0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370</v>
      </c>
      <c r="P112" t="s">
        <v>365</v>
      </c>
    </row>
    <row r="113" spans="1:16" customHeight="1" ht="58">
      <c r="A113" s="16"/>
      <c r="B113" s="18" t="s">
        <v>366</v>
      </c>
      <c r="C113" s="17" t="s">
        <v>367</v>
      </c>
      <c r="D113" s="17" t="s">
        <v>372</v>
      </c>
      <c r="E113" s="17" t="s">
        <v>369</v>
      </c>
      <c r="F113" s="19"/>
      <c r="G113" s="20">
        <v>1.0</v>
      </c>
      <c r="H113" s="21">
        <v>286.0</v>
      </c>
      <c r="I113" s="21">
        <v>192.0</v>
      </c>
      <c r="J113" s="22">
        <v>2472.0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373</v>
      </c>
      <c r="P113" t="s">
        <v>371</v>
      </c>
    </row>
    <row r="114" spans="1:16" customHeight="1" ht="58">
      <c r="A114" s="16"/>
      <c r="B114" s="18" t="s">
        <v>366</v>
      </c>
      <c r="C114" s="17" t="s">
        <v>367</v>
      </c>
      <c r="D114" s="17" t="s">
        <v>375</v>
      </c>
      <c r="E114" s="17" t="s">
        <v>369</v>
      </c>
      <c r="F114" s="19"/>
      <c r="G114" s="20">
        <v>1.0</v>
      </c>
      <c r="H114" s="21">
        <v>286.0</v>
      </c>
      <c r="I114" s="21">
        <v>192.0</v>
      </c>
      <c r="J114" s="22">
        <v>903.0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376</v>
      </c>
      <c r="P114" t="s">
        <v>374</v>
      </c>
    </row>
    <row r="115" spans="1:16" customHeight="1" ht="58">
      <c r="A115" s="16"/>
      <c r="B115" s="18" t="s">
        <v>366</v>
      </c>
      <c r="C115" s="17" t="s">
        <v>367</v>
      </c>
      <c r="D115" s="17" t="s">
        <v>378</v>
      </c>
      <c r="E115" s="17" t="s">
        <v>369</v>
      </c>
      <c r="F115" s="19"/>
      <c r="G115" s="20">
        <v>1.0</v>
      </c>
      <c r="H115" s="21">
        <v>286.0</v>
      </c>
      <c r="I115" s="21">
        <v>192.0</v>
      </c>
      <c r="J115" s="22">
        <v>287.0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379</v>
      </c>
      <c r="P115" t="s">
        <v>377</v>
      </c>
    </row>
    <row r="116" spans="1:16" customHeight="1" ht="58">
      <c r="A116" s="16"/>
      <c r="B116" s="18" t="s">
        <v>366</v>
      </c>
      <c r="C116" s="17" t="s">
        <v>367</v>
      </c>
      <c r="D116" s="17" t="s">
        <v>381</v>
      </c>
      <c r="E116" s="17" t="s">
        <v>369</v>
      </c>
      <c r="F116" s="19"/>
      <c r="G116" s="20">
        <v>1.0</v>
      </c>
      <c r="H116" s="21">
        <v>286.0</v>
      </c>
      <c r="I116" s="21">
        <v>192.0</v>
      </c>
      <c r="J116" s="22">
        <v>894.0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382</v>
      </c>
      <c r="P116" t="s">
        <v>380</v>
      </c>
    </row>
    <row r="117" spans="1:16" customHeight="1" ht="58">
      <c r="A117" s="16"/>
      <c r="B117" s="18" t="s">
        <v>366</v>
      </c>
      <c r="C117" s="17" t="s">
        <v>367</v>
      </c>
      <c r="D117" s="17" t="s">
        <v>384</v>
      </c>
      <c r="E117" s="17" t="s">
        <v>369</v>
      </c>
      <c r="F117" s="19"/>
      <c r="G117" s="20">
        <v>1.0</v>
      </c>
      <c r="H117" s="21">
        <v>286.0</v>
      </c>
      <c r="I117" s="21">
        <v>192.0</v>
      </c>
      <c r="J117" s="22">
        <v>739.0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385</v>
      </c>
      <c r="P117" t="s">
        <v>383</v>
      </c>
    </row>
    <row r="118" spans="1:16" customHeight="1" ht="58">
      <c r="A118" s="16"/>
      <c r="B118" s="18" t="s">
        <v>366</v>
      </c>
      <c r="C118" s="17" t="s">
        <v>367</v>
      </c>
      <c r="D118" s="17" t="s">
        <v>387</v>
      </c>
      <c r="E118" s="17" t="s">
        <v>369</v>
      </c>
      <c r="F118" s="19"/>
      <c r="G118" s="20">
        <v>1.0</v>
      </c>
      <c r="H118" s="21">
        <v>286.0</v>
      </c>
      <c r="I118" s="21">
        <v>192.0</v>
      </c>
      <c r="J118" s="22">
        <v>1784.0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388</v>
      </c>
      <c r="P118" t="s">
        <v>386</v>
      </c>
    </row>
    <row r="119" spans="1:16" customHeight="1" ht="58">
      <c r="A119" s="16"/>
      <c r="B119" s="18" t="s">
        <v>366</v>
      </c>
      <c r="C119" s="17" t="s">
        <v>367</v>
      </c>
      <c r="D119" s="17" t="s">
        <v>390</v>
      </c>
      <c r="E119" s="17" t="s">
        <v>369</v>
      </c>
      <c r="F119" s="19"/>
      <c r="G119" s="20">
        <v>1.0</v>
      </c>
      <c r="H119" s="21">
        <v>286.0</v>
      </c>
      <c r="I119" s="21">
        <v>192.0</v>
      </c>
      <c r="J119" s="22">
        <v>876.0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391</v>
      </c>
      <c r="P119" t="s">
        <v>389</v>
      </c>
    </row>
    <row r="120" spans="1:16" customHeight="1" ht="58">
      <c r="A120" s="16"/>
      <c r="B120" s="18" t="s">
        <v>366</v>
      </c>
      <c r="C120" s="17" t="s">
        <v>367</v>
      </c>
      <c r="D120" s="17" t="s">
        <v>393</v>
      </c>
      <c r="E120" s="17" t="s">
        <v>369</v>
      </c>
      <c r="F120" s="19"/>
      <c r="G120" s="20">
        <v>1.0</v>
      </c>
      <c r="H120" s="21">
        <v>286.0</v>
      </c>
      <c r="I120" s="21">
        <v>192.0</v>
      </c>
      <c r="J120" s="22">
        <v>1375.0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394</v>
      </c>
      <c r="P120" t="s">
        <v>392</v>
      </c>
    </row>
    <row r="121" spans="1:16" customHeight="1" ht="58">
      <c r="A121" s="16"/>
      <c r="B121" s="18" t="s">
        <v>366</v>
      </c>
      <c r="C121" s="17" t="s">
        <v>367</v>
      </c>
      <c r="D121" s="17" t="s">
        <v>396</v>
      </c>
      <c r="E121" s="17" t="s">
        <v>369</v>
      </c>
      <c r="F121" s="19"/>
      <c r="G121" s="20">
        <v>1.0</v>
      </c>
      <c r="H121" s="21">
        <v>286.0</v>
      </c>
      <c r="I121" s="21">
        <v>192.0</v>
      </c>
      <c r="J121" s="22">
        <v>1869.0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397</v>
      </c>
      <c r="P121" t="s">
        <v>395</v>
      </c>
    </row>
    <row r="122" spans="1:16" customHeight="1" ht="58">
      <c r="A122" s="16"/>
      <c r="B122" s="18" t="s">
        <v>366</v>
      </c>
      <c r="C122" s="17" t="s">
        <v>367</v>
      </c>
      <c r="D122" s="17" t="s">
        <v>399</v>
      </c>
      <c r="E122" s="17" t="s">
        <v>369</v>
      </c>
      <c r="F122" s="19"/>
      <c r="G122" s="20">
        <v>1.0</v>
      </c>
      <c r="H122" s="21">
        <v>286.0</v>
      </c>
      <c r="I122" s="21">
        <v>192.0</v>
      </c>
      <c r="J122" s="22">
        <v>975.0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400</v>
      </c>
      <c r="P122" t="s">
        <v>398</v>
      </c>
    </row>
    <row r="123" spans="1:16" customHeight="1" ht="58">
      <c r="A123" s="16"/>
      <c r="B123" s="18" t="s">
        <v>366</v>
      </c>
      <c r="C123" s="17" t="s">
        <v>367</v>
      </c>
      <c r="D123" s="17" t="s">
        <v>402</v>
      </c>
      <c r="E123" s="17" t="s">
        <v>369</v>
      </c>
      <c r="F123" s="19"/>
      <c r="G123" s="20">
        <v>1.0</v>
      </c>
      <c r="H123" s="21">
        <v>286.0</v>
      </c>
      <c r="I123" s="21">
        <v>192.0</v>
      </c>
      <c r="J123" s="22">
        <v>1195.0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403</v>
      </c>
      <c r="P123" t="s">
        <v>401</v>
      </c>
    </row>
    <row r="124" spans="1:16" customHeight="1" ht="58">
      <c r="A124" s="16"/>
      <c r="B124" s="18" t="s">
        <v>366</v>
      </c>
      <c r="C124" s="17" t="s">
        <v>367</v>
      </c>
      <c r="D124" s="17" t="s">
        <v>405</v>
      </c>
      <c r="E124" s="17" t="s">
        <v>369</v>
      </c>
      <c r="F124" s="19"/>
      <c r="G124" s="20">
        <v>1.0</v>
      </c>
      <c r="H124" s="21">
        <v>286.0</v>
      </c>
      <c r="I124" s="21">
        <v>192.0</v>
      </c>
      <c r="J124" s="22">
        <v>977.0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406</v>
      </c>
      <c r="P124" t="s">
        <v>404</v>
      </c>
    </row>
    <row r="125" spans="1:16" customHeight="1" ht="58">
      <c r="A125" s="16"/>
      <c r="B125" s="18" t="s">
        <v>366</v>
      </c>
      <c r="C125" s="17" t="s">
        <v>367</v>
      </c>
      <c r="D125" s="17" t="s">
        <v>408</v>
      </c>
      <c r="E125" s="17" t="s">
        <v>369</v>
      </c>
      <c r="F125" s="19"/>
      <c r="G125" s="20">
        <v>1.0</v>
      </c>
      <c r="H125" s="21">
        <v>286.0</v>
      </c>
      <c r="I125" s="21">
        <v>192.0</v>
      </c>
      <c r="J125" s="22">
        <v>2209.0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409</v>
      </c>
      <c r="P125" t="s">
        <v>407</v>
      </c>
    </row>
    <row r="126" spans="1:16" customHeight="1" ht="58">
      <c r="A126" s="16"/>
      <c r="B126" s="18" t="s">
        <v>366</v>
      </c>
      <c r="C126" s="17" t="s">
        <v>367</v>
      </c>
      <c r="D126" s="17" t="s">
        <v>411</v>
      </c>
      <c r="E126" s="17" t="s">
        <v>369</v>
      </c>
      <c r="F126" s="19"/>
      <c r="G126" s="20">
        <v>1.0</v>
      </c>
      <c r="H126" s="21">
        <v>286.0</v>
      </c>
      <c r="I126" s="21">
        <v>192.0</v>
      </c>
      <c r="J126" s="22">
        <v>1164.0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412</v>
      </c>
      <c r="P126" t="s">
        <v>410</v>
      </c>
    </row>
    <row r="127" spans="1:16" customHeight="1" ht="58">
      <c r="A127" s="16"/>
      <c r="B127" s="18" t="s">
        <v>366</v>
      </c>
      <c r="C127" s="17" t="s">
        <v>367</v>
      </c>
      <c r="D127" s="17" t="s">
        <v>414</v>
      </c>
      <c r="E127" s="17" t="s">
        <v>369</v>
      </c>
      <c r="F127" s="19"/>
      <c r="G127" s="20">
        <v>1.0</v>
      </c>
      <c r="H127" s="21">
        <v>286.0</v>
      </c>
      <c r="I127" s="21">
        <v>192.0</v>
      </c>
      <c r="J127" s="22">
        <v>1419.0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415</v>
      </c>
      <c r="P127" t="s">
        <v>413</v>
      </c>
    </row>
    <row r="128" spans="1:16" customHeight="1" ht="58">
      <c r="A128" s="16"/>
      <c r="B128" s="18" t="s">
        <v>366</v>
      </c>
      <c r="C128" s="17" t="s">
        <v>367</v>
      </c>
      <c r="D128" s="17" t="s">
        <v>417</v>
      </c>
      <c r="E128" s="17" t="s">
        <v>369</v>
      </c>
      <c r="F128" s="19"/>
      <c r="G128" s="20">
        <v>1.0</v>
      </c>
      <c r="H128" s="21">
        <v>286.0</v>
      </c>
      <c r="I128" s="21">
        <v>192.0</v>
      </c>
      <c r="J128" s="22">
        <v>812.0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418</v>
      </c>
      <c r="P128" t="s">
        <v>416</v>
      </c>
    </row>
    <row r="129" spans="1:16" customHeight="1" ht="58">
      <c r="A129" s="16"/>
      <c r="B129" s="18" t="s">
        <v>366</v>
      </c>
      <c r="C129" s="17" t="s">
        <v>367</v>
      </c>
      <c r="D129" s="17" t="s">
        <v>420</v>
      </c>
      <c r="E129" s="17" t="s">
        <v>369</v>
      </c>
      <c r="F129" s="19"/>
      <c r="G129" s="20">
        <v>1.0</v>
      </c>
      <c r="H129" s="21">
        <v>286.0</v>
      </c>
      <c r="I129" s="21">
        <v>192.0</v>
      </c>
      <c r="J129" s="22">
        <v>1820.0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421</v>
      </c>
      <c r="P129" t="s">
        <v>419</v>
      </c>
    </row>
    <row r="130" spans="1:16" customHeight="1" ht="58">
      <c r="A130" s="16"/>
      <c r="B130" s="18" t="s">
        <v>366</v>
      </c>
      <c r="C130" s="17" t="s">
        <v>367</v>
      </c>
      <c r="D130" s="17" t="s">
        <v>423</v>
      </c>
      <c r="E130" s="17" t="s">
        <v>369</v>
      </c>
      <c r="F130" s="19"/>
      <c r="G130" s="20">
        <v>1.0</v>
      </c>
      <c r="H130" s="21">
        <v>286.0</v>
      </c>
      <c r="I130" s="21">
        <v>192.0</v>
      </c>
      <c r="J130" s="22">
        <v>2923.0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424</v>
      </c>
      <c r="P130" t="s">
        <v>422</v>
      </c>
    </row>
    <row r="131" spans="1:16" customHeight="1" ht="58">
      <c r="A131" s="16"/>
      <c r="B131" s="18" t="s">
        <v>366</v>
      </c>
      <c r="C131" s="17" t="s">
        <v>367</v>
      </c>
      <c r="D131" s="17" t="s">
        <v>426</v>
      </c>
      <c r="E131" s="17" t="s">
        <v>369</v>
      </c>
      <c r="F131" s="19"/>
      <c r="G131" s="20">
        <v>1.0</v>
      </c>
      <c r="H131" s="21">
        <v>286.0</v>
      </c>
      <c r="I131" s="21">
        <v>192.0</v>
      </c>
      <c r="J131" s="22">
        <v>1601.0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427</v>
      </c>
      <c r="P131" t="s">
        <v>425</v>
      </c>
    </row>
    <row r="132" spans="1:16" customHeight="1" ht="58">
      <c r="A132" s="16"/>
      <c r="B132" s="18" t="s">
        <v>366</v>
      </c>
      <c r="C132" s="17" t="s">
        <v>367</v>
      </c>
      <c r="D132" s="17" t="s">
        <v>429</v>
      </c>
      <c r="E132" s="17" t="s">
        <v>369</v>
      </c>
      <c r="F132" s="19"/>
      <c r="G132" s="20">
        <v>1.0</v>
      </c>
      <c r="H132" s="21">
        <v>286.0</v>
      </c>
      <c r="I132" s="21">
        <v>192.0</v>
      </c>
      <c r="J132" s="22">
        <v>1049.0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430</v>
      </c>
      <c r="P132" t="s">
        <v>428</v>
      </c>
    </row>
    <row r="133" spans="1:16" customHeight="1" ht="58">
      <c r="A133" s="16"/>
      <c r="B133" s="18" t="s">
        <v>366</v>
      </c>
      <c r="C133" s="17" t="s">
        <v>367</v>
      </c>
      <c r="D133" s="17" t="s">
        <v>432</v>
      </c>
      <c r="E133" s="17" t="s">
        <v>369</v>
      </c>
      <c r="F133" s="19"/>
      <c r="G133" s="20">
        <v>1.0</v>
      </c>
      <c r="H133" s="21">
        <v>286.0</v>
      </c>
      <c r="I133" s="21">
        <v>192.0</v>
      </c>
      <c r="J133" s="22">
        <v>895.0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433</v>
      </c>
      <c r="P133" t="s">
        <v>431</v>
      </c>
    </row>
    <row r="134" spans="1:16" customHeight="1" ht="58">
      <c r="A134" s="16"/>
      <c r="B134" s="18" t="s">
        <v>366</v>
      </c>
      <c r="C134" s="17" t="s">
        <v>367</v>
      </c>
      <c r="D134" s="17" t="s">
        <v>435</v>
      </c>
      <c r="E134" s="17" t="s">
        <v>369</v>
      </c>
      <c r="F134" s="19"/>
      <c r="G134" s="20">
        <v>1.0</v>
      </c>
      <c r="H134" s="21">
        <v>286.0</v>
      </c>
      <c r="I134" s="21">
        <v>192.0</v>
      </c>
      <c r="J134" s="22">
        <v>735.0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436</v>
      </c>
      <c r="P134" t="s">
        <v>434</v>
      </c>
    </row>
    <row r="135" spans="1:16" customHeight="1" ht="58">
      <c r="A135" s="16"/>
      <c r="B135" s="18" t="s">
        <v>366</v>
      </c>
      <c r="C135" s="17" t="s">
        <v>367</v>
      </c>
      <c r="D135" s="17" t="s">
        <v>438</v>
      </c>
      <c r="E135" s="17" t="s">
        <v>369</v>
      </c>
      <c r="F135" s="19"/>
      <c r="G135" s="20">
        <v>1.0</v>
      </c>
      <c r="H135" s="21">
        <v>286.0</v>
      </c>
      <c r="I135" s="21">
        <v>192.0</v>
      </c>
      <c r="J135" s="22">
        <v>973.0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439</v>
      </c>
      <c r="P135" t="s">
        <v>437</v>
      </c>
    </row>
    <row r="136" spans="1:16" customHeight="1" ht="58">
      <c r="A136" s="16"/>
      <c r="B136" s="18" t="s">
        <v>366</v>
      </c>
      <c r="C136" s="17" t="s">
        <v>367</v>
      </c>
      <c r="D136" s="17" t="s">
        <v>441</v>
      </c>
      <c r="E136" s="17" t="s">
        <v>369</v>
      </c>
      <c r="F136" s="19"/>
      <c r="G136" s="20">
        <v>1.0</v>
      </c>
      <c r="H136" s="21">
        <v>286.0</v>
      </c>
      <c r="I136" s="21">
        <v>192.0</v>
      </c>
      <c r="J136" s="22">
        <v>246.0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442</v>
      </c>
      <c r="P136" t="s">
        <v>440</v>
      </c>
    </row>
    <row r="137" spans="1:16" customHeight="1" ht="58">
      <c r="A137" s="16"/>
      <c r="B137" s="18" t="s">
        <v>366</v>
      </c>
      <c r="C137" s="17" t="s">
        <v>367</v>
      </c>
      <c r="D137" s="17" t="s">
        <v>444</v>
      </c>
      <c r="E137" s="17" t="s">
        <v>369</v>
      </c>
      <c r="F137" s="19"/>
      <c r="G137" s="20">
        <v>1.0</v>
      </c>
      <c r="H137" s="21">
        <v>286.0</v>
      </c>
      <c r="I137" s="21">
        <v>192.0</v>
      </c>
      <c r="J137" s="22">
        <v>843.0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445</v>
      </c>
      <c r="P137" t="s">
        <v>443</v>
      </c>
    </row>
    <row r="138" spans="1:16" customHeight="1" ht="58">
      <c r="A138" s="16"/>
      <c r="B138" s="18" t="s">
        <v>366</v>
      </c>
      <c r="C138" s="17" t="s">
        <v>367</v>
      </c>
      <c r="D138" s="17" t="s">
        <v>447</v>
      </c>
      <c r="E138" s="17" t="s">
        <v>369</v>
      </c>
      <c r="F138" s="19"/>
      <c r="G138" s="20">
        <v>1.0</v>
      </c>
      <c r="H138" s="21">
        <v>286.0</v>
      </c>
      <c r="I138" s="21">
        <v>192.0</v>
      </c>
      <c r="J138" s="22">
        <v>1379.0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448</v>
      </c>
      <c r="P138" t="s">
        <v>446</v>
      </c>
    </row>
    <row r="139" spans="1:16" customHeight="1" ht="58">
      <c r="A139" s="16"/>
      <c r="B139" s="18" t="s">
        <v>366</v>
      </c>
      <c r="C139" s="17" t="s">
        <v>367</v>
      </c>
      <c r="D139" s="17" t="s">
        <v>450</v>
      </c>
      <c r="E139" s="17" t="s">
        <v>369</v>
      </c>
      <c r="F139" s="19"/>
      <c r="G139" s="20">
        <v>1.0</v>
      </c>
      <c r="H139" s="21">
        <v>286.0</v>
      </c>
      <c r="I139" s="21">
        <v>192.0</v>
      </c>
      <c r="J139" s="22">
        <v>1859.0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451</v>
      </c>
      <c r="P139" t="s">
        <v>449</v>
      </c>
    </row>
    <row r="140" spans="1:16" customHeight="1" ht="58">
      <c r="A140" s="16"/>
      <c r="B140" s="18" t="s">
        <v>366</v>
      </c>
      <c r="C140" s="17" t="s">
        <v>367</v>
      </c>
      <c r="D140" s="17" t="s">
        <v>453</v>
      </c>
      <c r="E140" s="17" t="s">
        <v>369</v>
      </c>
      <c r="F140" s="19"/>
      <c r="G140" s="20">
        <v>1.0</v>
      </c>
      <c r="H140" s="21">
        <v>286.0</v>
      </c>
      <c r="I140" s="21">
        <v>192.0</v>
      </c>
      <c r="J140" s="22">
        <v>2458.0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454</v>
      </c>
      <c r="P140" t="s">
        <v>452</v>
      </c>
    </row>
    <row r="141" spans="1:16" customHeight="1" ht="58">
      <c r="A141" s="16"/>
      <c r="B141" s="18" t="s">
        <v>366</v>
      </c>
      <c r="C141" s="17" t="s">
        <v>367</v>
      </c>
      <c r="D141" s="17" t="s">
        <v>456</v>
      </c>
      <c r="E141" s="17" t="s">
        <v>369</v>
      </c>
      <c r="F141" s="19"/>
      <c r="G141" s="20">
        <v>1.0</v>
      </c>
      <c r="H141" s="21">
        <v>286.0</v>
      </c>
      <c r="I141" s="21">
        <v>192.0</v>
      </c>
      <c r="J141" s="22">
        <v>1270.0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457</v>
      </c>
      <c r="P141" t="s">
        <v>455</v>
      </c>
    </row>
    <row r="142" spans="1:16" customHeight="1" ht="58">
      <c r="A142" s="16"/>
      <c r="B142" s="18" t="s">
        <v>366</v>
      </c>
      <c r="C142" s="17" t="s">
        <v>367</v>
      </c>
      <c r="D142" s="17" t="s">
        <v>459</v>
      </c>
      <c r="E142" s="17" t="s">
        <v>369</v>
      </c>
      <c r="F142" s="19"/>
      <c r="G142" s="20">
        <v>1.0</v>
      </c>
      <c r="H142" s="21">
        <v>286.0</v>
      </c>
      <c r="I142" s="21">
        <v>192.0</v>
      </c>
      <c r="J142" s="22">
        <v>1703.0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460</v>
      </c>
      <c r="P142" t="s">
        <v>458</v>
      </c>
    </row>
    <row r="143" spans="1:16" customHeight="1" ht="58">
      <c r="A143" s="16"/>
      <c r="B143" s="18" t="s">
        <v>366</v>
      </c>
      <c r="C143" s="17" t="s">
        <v>367</v>
      </c>
      <c r="D143" s="17" t="s">
        <v>462</v>
      </c>
      <c r="E143" s="17" t="s">
        <v>369</v>
      </c>
      <c r="F143" s="19"/>
      <c r="G143" s="20">
        <v>1.0</v>
      </c>
      <c r="H143" s="21">
        <v>286.0</v>
      </c>
      <c r="I143" s="21">
        <v>192.0</v>
      </c>
      <c r="J143" s="22">
        <v>380.0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463</v>
      </c>
      <c r="P143" t="s">
        <v>461</v>
      </c>
    </row>
    <row r="144" spans="1:16" customHeight="1" ht="58">
      <c r="A144" s="16"/>
      <c r="B144" s="18" t="s">
        <v>366</v>
      </c>
      <c r="C144" s="17" t="s">
        <v>367</v>
      </c>
      <c r="D144" s="17" t="s">
        <v>69</v>
      </c>
      <c r="E144" s="17" t="s">
        <v>369</v>
      </c>
      <c r="F144" s="19"/>
      <c r="G144" s="20">
        <v>1.0</v>
      </c>
      <c r="H144" s="21">
        <v>286.0</v>
      </c>
      <c r="I144" s="21">
        <v>192.0</v>
      </c>
      <c r="J144" s="22">
        <v>18.0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465</v>
      </c>
      <c r="P144" t="s">
        <v>464</v>
      </c>
    </row>
    <row r="145" spans="1:16" customHeight="1" ht="58">
      <c r="A145" s="16"/>
      <c r="B145" s="18" t="s">
        <v>366</v>
      </c>
      <c r="C145" s="17" t="s">
        <v>367</v>
      </c>
      <c r="D145" s="17" t="s">
        <v>467</v>
      </c>
      <c r="E145" s="17" t="s">
        <v>369</v>
      </c>
      <c r="F145" s="19"/>
      <c r="G145" s="20">
        <v>1.0</v>
      </c>
      <c r="H145" s="21">
        <v>286.0</v>
      </c>
      <c r="I145" s="21">
        <v>192.0</v>
      </c>
      <c r="J145" s="22">
        <v>1472.0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468</v>
      </c>
      <c r="P145" t="s">
        <v>466</v>
      </c>
    </row>
    <row r="146" spans="1:16" customHeight="1" ht="58">
      <c r="A146" s="16"/>
      <c r="B146" s="18" t="s">
        <v>366</v>
      </c>
      <c r="C146" s="17" t="s">
        <v>367</v>
      </c>
      <c r="D146" s="17" t="s">
        <v>470</v>
      </c>
      <c r="E146" s="17" t="s">
        <v>369</v>
      </c>
      <c r="F146" s="19"/>
      <c r="G146" s="20">
        <v>1.0</v>
      </c>
      <c r="H146" s="21">
        <v>286.0</v>
      </c>
      <c r="I146" s="21">
        <v>192.0</v>
      </c>
      <c r="J146" s="22">
        <v>1947.0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471</v>
      </c>
      <c r="P146" t="s">
        <v>469</v>
      </c>
    </row>
    <row r="147" spans="1:16" customHeight="1" ht="58">
      <c r="A147" s="16"/>
      <c r="B147" s="18" t="s">
        <v>366</v>
      </c>
      <c r="C147" s="17" t="s">
        <v>367</v>
      </c>
      <c r="D147" s="17" t="s">
        <v>473</v>
      </c>
      <c r="E147" s="17" t="s">
        <v>369</v>
      </c>
      <c r="F147" s="19"/>
      <c r="G147" s="20">
        <v>1.0</v>
      </c>
      <c r="H147" s="21">
        <v>286.0</v>
      </c>
      <c r="I147" s="21">
        <v>192.0</v>
      </c>
      <c r="J147" s="22">
        <v>1277.0</v>
      </c>
      <c r="K147" s="50"/>
      <c r="L147" s="21" t="str">
        <f>IF(K147&gt;0,K147*I147,"")</f>
      </c>
      <c r="M147" s="52"/>
      <c r="N147" t="str">
        <f>IF(K147&gt;0,COUNTIF($K$7:K147,"&gt;0"),"")</f>
      </c>
      <c r="O147" t="s">
        <v>474</v>
      </c>
      <c r="P147" t="s">
        <v>472</v>
      </c>
    </row>
    <row r="148" spans="1:16" customHeight="1" ht="58">
      <c r="A148" s="16"/>
      <c r="B148" s="18" t="s">
        <v>366</v>
      </c>
      <c r="C148" s="17" t="s">
        <v>367</v>
      </c>
      <c r="D148" s="17" t="s">
        <v>476</v>
      </c>
      <c r="E148" s="17" t="s">
        <v>369</v>
      </c>
      <c r="F148" s="19"/>
      <c r="G148" s="20">
        <v>1.0</v>
      </c>
      <c r="H148" s="21">
        <v>286.0</v>
      </c>
      <c r="I148" s="21">
        <v>192.0</v>
      </c>
      <c r="J148" s="22">
        <v>1180.0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477</v>
      </c>
      <c r="P148" t="s">
        <v>475</v>
      </c>
    </row>
    <row r="149" spans="1:16" customHeight="1" ht="58">
      <c r="A149" s="16"/>
      <c r="B149" s="18" t="s">
        <v>366</v>
      </c>
      <c r="C149" s="17" t="s">
        <v>367</v>
      </c>
      <c r="D149" s="17" t="s">
        <v>479</v>
      </c>
      <c r="E149" s="17" t="s">
        <v>369</v>
      </c>
      <c r="F149" s="19"/>
      <c r="G149" s="20">
        <v>1.0</v>
      </c>
      <c r="H149" s="21">
        <v>286.0</v>
      </c>
      <c r="I149" s="21">
        <v>192.0</v>
      </c>
      <c r="J149" s="22">
        <v>1307.0</v>
      </c>
      <c r="K149" s="50"/>
      <c r="L149" s="21" t="str">
        <f>IF(K149&gt;0,K149*I149,"")</f>
      </c>
      <c r="M149" s="52"/>
      <c r="N149" t="str">
        <f>IF(K149&gt;0,COUNTIF($K$7:K149,"&gt;0"),"")</f>
      </c>
      <c r="O149" t="s">
        <v>480</v>
      </c>
      <c r="P149" t="s">
        <v>478</v>
      </c>
    </row>
    <row r="150" spans="1:16" customHeight="1" ht="58">
      <c r="A150" s="16"/>
      <c r="B150" s="18" t="s">
        <v>366</v>
      </c>
      <c r="C150" s="17" t="s">
        <v>367</v>
      </c>
      <c r="D150" s="17" t="s">
        <v>482</v>
      </c>
      <c r="E150" s="17" t="s">
        <v>369</v>
      </c>
      <c r="F150" s="19"/>
      <c r="G150" s="20">
        <v>1.0</v>
      </c>
      <c r="H150" s="21">
        <v>286.0</v>
      </c>
      <c r="I150" s="21">
        <v>192.0</v>
      </c>
      <c r="J150" s="22">
        <v>1716.0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483</v>
      </c>
      <c r="P150" t="s">
        <v>481</v>
      </c>
    </row>
    <row r="151" spans="1:16" customHeight="1" ht="58">
      <c r="A151" s="16"/>
      <c r="B151" s="18" t="s">
        <v>366</v>
      </c>
      <c r="C151" s="17" t="s">
        <v>367</v>
      </c>
      <c r="D151" s="17" t="s">
        <v>485</v>
      </c>
      <c r="E151" s="17" t="s">
        <v>369</v>
      </c>
      <c r="F151" s="19"/>
      <c r="G151" s="20">
        <v>1.0</v>
      </c>
      <c r="H151" s="21">
        <v>286.0</v>
      </c>
      <c r="I151" s="21">
        <v>192.0</v>
      </c>
      <c r="J151" s="22">
        <v>1116.0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486</v>
      </c>
      <c r="P151" t="s">
        <v>484</v>
      </c>
    </row>
    <row r="152" spans="1:16" customHeight="1" ht="58">
      <c r="A152" s="16"/>
      <c r="B152" s="18" t="s">
        <v>366</v>
      </c>
      <c r="C152" s="17" t="s">
        <v>367</v>
      </c>
      <c r="D152" s="17" t="s">
        <v>488</v>
      </c>
      <c r="E152" s="17" t="s">
        <v>369</v>
      </c>
      <c r="F152" s="19"/>
      <c r="G152" s="20">
        <v>1.0</v>
      </c>
      <c r="H152" s="21">
        <v>286.0</v>
      </c>
      <c r="I152" s="21">
        <v>192.0</v>
      </c>
      <c r="J152" s="22">
        <v>1686.0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489</v>
      </c>
      <c r="P152" t="s">
        <v>487</v>
      </c>
    </row>
    <row r="153" spans="1:16" customHeight="1" ht="58">
      <c r="A153" s="16"/>
      <c r="B153" s="18" t="s">
        <v>366</v>
      </c>
      <c r="C153" s="17" t="s">
        <v>367</v>
      </c>
      <c r="D153" s="17" t="s">
        <v>491</v>
      </c>
      <c r="E153" s="17" t="s">
        <v>369</v>
      </c>
      <c r="F153" s="19"/>
      <c r="G153" s="20">
        <v>1.0</v>
      </c>
      <c r="H153" s="21">
        <v>286.0</v>
      </c>
      <c r="I153" s="21">
        <v>192.0</v>
      </c>
      <c r="J153" s="22">
        <v>1087.0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492</v>
      </c>
      <c r="P153" t="s">
        <v>490</v>
      </c>
    </row>
    <row r="154" spans="1:16" customHeight="1" ht="58">
      <c r="A154" s="16"/>
      <c r="B154" s="18" t="s">
        <v>366</v>
      </c>
      <c r="C154" s="17" t="s">
        <v>367</v>
      </c>
      <c r="D154" s="17" t="s">
        <v>494</v>
      </c>
      <c r="E154" s="17" t="s">
        <v>369</v>
      </c>
      <c r="F154" s="19"/>
      <c r="G154" s="20">
        <v>1.0</v>
      </c>
      <c r="H154" s="21">
        <v>286.0</v>
      </c>
      <c r="I154" s="21">
        <v>192.0</v>
      </c>
      <c r="J154" s="22">
        <v>756.0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495</v>
      </c>
      <c r="P154" t="s">
        <v>493</v>
      </c>
    </row>
    <row r="155" spans="1:16" customHeight="1" ht="58">
      <c r="A155" s="16"/>
      <c r="B155" s="18" t="s">
        <v>366</v>
      </c>
      <c r="C155" s="17" t="s">
        <v>367</v>
      </c>
      <c r="D155" s="17" t="s">
        <v>497</v>
      </c>
      <c r="E155" s="17" t="s">
        <v>369</v>
      </c>
      <c r="F155" s="19"/>
      <c r="G155" s="20">
        <v>1.0</v>
      </c>
      <c r="H155" s="21">
        <v>286.0</v>
      </c>
      <c r="I155" s="21">
        <v>192.0</v>
      </c>
      <c r="J155" s="22">
        <v>1767.0</v>
      </c>
      <c r="K155" s="50"/>
      <c r="L155" s="21" t="str">
        <f>IF(K155&gt;0,K155*I155,"")</f>
      </c>
      <c r="M155" s="52"/>
      <c r="N155" t="str">
        <f>IF(K155&gt;0,COUNTIF($K$7:K155,"&gt;0"),"")</f>
      </c>
      <c r="O155" t="s">
        <v>498</v>
      </c>
      <c r="P155" t="s">
        <v>496</v>
      </c>
    </row>
    <row r="156" spans="1:16" customHeight="1" ht="58">
      <c r="A156" s="16"/>
      <c r="B156" s="18" t="s">
        <v>366</v>
      </c>
      <c r="C156" s="17" t="s">
        <v>367</v>
      </c>
      <c r="D156" s="17" t="s">
        <v>500</v>
      </c>
      <c r="E156" s="17" t="s">
        <v>369</v>
      </c>
      <c r="F156" s="19"/>
      <c r="G156" s="20">
        <v>1.0</v>
      </c>
      <c r="H156" s="21">
        <v>286.0</v>
      </c>
      <c r="I156" s="21">
        <v>192.0</v>
      </c>
      <c r="J156" s="22">
        <v>1443.0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501</v>
      </c>
      <c r="P156" t="s">
        <v>499</v>
      </c>
    </row>
    <row r="157" spans="1:16" customHeight="1" ht="58">
      <c r="A157" s="16"/>
      <c r="B157" s="18" t="s">
        <v>366</v>
      </c>
      <c r="C157" s="17" t="s">
        <v>367</v>
      </c>
      <c r="D157" s="17" t="s">
        <v>503</v>
      </c>
      <c r="E157" s="17" t="s">
        <v>369</v>
      </c>
      <c r="F157" s="19"/>
      <c r="G157" s="20">
        <v>1.0</v>
      </c>
      <c r="H157" s="21">
        <v>286.0</v>
      </c>
      <c r="I157" s="21">
        <v>192.0</v>
      </c>
      <c r="J157" s="22">
        <v>1003.0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504</v>
      </c>
      <c r="P157" t="s">
        <v>502</v>
      </c>
    </row>
    <row r="158" spans="1:16" customHeight="1" ht="58">
      <c r="A158" s="16"/>
      <c r="B158" s="18" t="s">
        <v>366</v>
      </c>
      <c r="C158" s="17" t="s">
        <v>367</v>
      </c>
      <c r="D158" s="17" t="s">
        <v>506</v>
      </c>
      <c r="E158" s="17" t="s">
        <v>369</v>
      </c>
      <c r="F158" s="19"/>
      <c r="G158" s="20">
        <v>1.0</v>
      </c>
      <c r="H158" s="21">
        <v>286.0</v>
      </c>
      <c r="I158" s="21">
        <v>192.0</v>
      </c>
      <c r="J158" s="22">
        <v>1775.0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507</v>
      </c>
      <c r="P158" t="s">
        <v>505</v>
      </c>
    </row>
    <row r="159" spans="1:16" customHeight="1" ht="58">
      <c r="A159" s="16"/>
      <c r="B159" s="18" t="s">
        <v>366</v>
      </c>
      <c r="C159" s="17" t="s">
        <v>367</v>
      </c>
      <c r="D159" s="17" t="s">
        <v>509</v>
      </c>
      <c r="E159" s="17" t="s">
        <v>369</v>
      </c>
      <c r="F159" s="19"/>
      <c r="G159" s="20">
        <v>1.0</v>
      </c>
      <c r="H159" s="21">
        <v>286.0</v>
      </c>
      <c r="I159" s="21">
        <v>192.0</v>
      </c>
      <c r="J159" s="22">
        <v>1374.0</v>
      </c>
      <c r="K159" s="50"/>
      <c r="L159" s="21" t="str">
        <f>IF(K159&gt;0,K159*I159,"")</f>
      </c>
      <c r="M159" s="52"/>
      <c r="N159" t="str">
        <f>IF(K159&gt;0,COUNTIF($K$7:K159,"&gt;0"),"")</f>
      </c>
      <c r="O159" t="s">
        <v>510</v>
      </c>
      <c r="P159" t="s">
        <v>508</v>
      </c>
    </row>
    <row r="160" spans="1:16" customHeight="1" ht="58">
      <c r="A160" s="16"/>
      <c r="B160" s="18" t="s">
        <v>366</v>
      </c>
      <c r="C160" s="17" t="s">
        <v>367</v>
      </c>
      <c r="D160" s="17" t="s">
        <v>512</v>
      </c>
      <c r="E160" s="17" t="s">
        <v>369</v>
      </c>
      <c r="F160" s="19"/>
      <c r="G160" s="20">
        <v>1.0</v>
      </c>
      <c r="H160" s="21">
        <v>286.0</v>
      </c>
      <c r="I160" s="21">
        <v>192.0</v>
      </c>
      <c r="J160" s="22">
        <v>1287.0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513</v>
      </c>
      <c r="P160" t="s">
        <v>511</v>
      </c>
    </row>
    <row r="161" spans="1:16" customHeight="1" ht="58">
      <c r="A161" s="16"/>
      <c r="B161" s="18" t="s">
        <v>366</v>
      </c>
      <c r="C161" s="17" t="s">
        <v>367</v>
      </c>
      <c r="D161" s="17" t="s">
        <v>515</v>
      </c>
      <c r="E161" s="17" t="s">
        <v>369</v>
      </c>
      <c r="F161" s="19"/>
      <c r="G161" s="20">
        <v>1.0</v>
      </c>
      <c r="H161" s="21">
        <v>286.0</v>
      </c>
      <c r="I161" s="21">
        <v>192.0</v>
      </c>
      <c r="J161" s="22">
        <v>971.0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516</v>
      </c>
      <c r="P161" t="s">
        <v>514</v>
      </c>
    </row>
    <row r="162" spans="1:16" customHeight="1" ht="58">
      <c r="A162" s="16"/>
      <c r="B162" s="18" t="s">
        <v>366</v>
      </c>
      <c r="C162" s="17" t="s">
        <v>367</v>
      </c>
      <c r="D162" s="17" t="s">
        <v>120</v>
      </c>
      <c r="E162" s="17" t="s">
        <v>369</v>
      </c>
      <c r="F162" s="19"/>
      <c r="G162" s="20">
        <v>1.0</v>
      </c>
      <c r="H162" s="21">
        <v>286.0</v>
      </c>
      <c r="I162" s="21">
        <v>192.0</v>
      </c>
      <c r="J162" s="22">
        <v>1144.0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518</v>
      </c>
      <c r="P162" t="s">
        <v>517</v>
      </c>
    </row>
    <row r="163" spans="1:16" customHeight="1" ht="58">
      <c r="A163" s="16"/>
      <c r="B163" s="18" t="s">
        <v>366</v>
      </c>
      <c r="C163" s="17" t="s">
        <v>367</v>
      </c>
      <c r="D163" s="17" t="s">
        <v>520</v>
      </c>
      <c r="E163" s="17" t="s">
        <v>369</v>
      </c>
      <c r="F163" s="19"/>
      <c r="G163" s="20">
        <v>1.0</v>
      </c>
      <c r="H163" s="21">
        <v>286.0</v>
      </c>
      <c r="I163" s="21">
        <v>192.0</v>
      </c>
      <c r="J163" s="22">
        <v>1150.0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521</v>
      </c>
      <c r="P163" t="s">
        <v>519</v>
      </c>
    </row>
    <row r="164" spans="1:16" customHeight="1" ht="58">
      <c r="A164" s="16"/>
      <c r="B164" s="18" t="s">
        <v>366</v>
      </c>
      <c r="C164" s="17" t="s">
        <v>367</v>
      </c>
      <c r="D164" s="17" t="s">
        <v>523</v>
      </c>
      <c r="E164" s="17" t="s">
        <v>369</v>
      </c>
      <c r="F164" s="19"/>
      <c r="G164" s="20">
        <v>1.0</v>
      </c>
      <c r="H164" s="21">
        <v>286.0</v>
      </c>
      <c r="I164" s="21">
        <v>192.0</v>
      </c>
      <c r="J164" s="22">
        <v>2651.0</v>
      </c>
      <c r="K164" s="50"/>
      <c r="L164" s="21" t="str">
        <f>IF(K164&gt;0,K164*I164,"")</f>
      </c>
      <c r="M164" s="52"/>
      <c r="N164" t="str">
        <f>IF(K164&gt;0,COUNTIF($K$7:K164,"&gt;0"),"")</f>
      </c>
      <c r="O164" t="s">
        <v>524</v>
      </c>
      <c r="P164" t="s">
        <v>522</v>
      </c>
    </row>
    <row r="165" spans="1:16" customHeight="1" ht="58">
      <c r="A165" s="16"/>
      <c r="B165" s="18" t="s">
        <v>366</v>
      </c>
      <c r="C165" s="17" t="s">
        <v>367</v>
      </c>
      <c r="D165" s="17" t="s">
        <v>526</v>
      </c>
      <c r="E165" s="17" t="s">
        <v>369</v>
      </c>
      <c r="F165" s="19"/>
      <c r="G165" s="20">
        <v>1.0</v>
      </c>
      <c r="H165" s="21">
        <v>286.0</v>
      </c>
      <c r="I165" s="21">
        <v>192.0</v>
      </c>
      <c r="J165" s="22">
        <v>1929.0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527</v>
      </c>
      <c r="P165" t="s">
        <v>525</v>
      </c>
    </row>
    <row r="166" spans="1:16" customHeight="1" ht="58">
      <c r="A166" s="16"/>
      <c r="B166" s="18" t="s">
        <v>366</v>
      </c>
      <c r="C166" s="17" t="s">
        <v>367</v>
      </c>
      <c r="D166" s="17" t="s">
        <v>529</v>
      </c>
      <c r="E166" s="17" t="s">
        <v>369</v>
      </c>
      <c r="F166" s="19"/>
      <c r="G166" s="20">
        <v>1.0</v>
      </c>
      <c r="H166" s="21">
        <v>286.0</v>
      </c>
      <c r="I166" s="21">
        <v>192.0</v>
      </c>
      <c r="J166" s="22">
        <v>1712.0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530</v>
      </c>
      <c r="P166" t="s">
        <v>528</v>
      </c>
    </row>
    <row r="167" spans="1:16" customHeight="1" ht="58">
      <c r="A167" s="16"/>
      <c r="B167" s="18" t="s">
        <v>366</v>
      </c>
      <c r="C167" s="17" t="s">
        <v>367</v>
      </c>
      <c r="D167" s="17" t="s">
        <v>532</v>
      </c>
      <c r="E167" s="17" t="s">
        <v>369</v>
      </c>
      <c r="F167" s="19"/>
      <c r="G167" s="20">
        <v>1.0</v>
      </c>
      <c r="H167" s="21">
        <v>286.0</v>
      </c>
      <c r="I167" s="21">
        <v>192.0</v>
      </c>
      <c r="J167" s="22">
        <v>1402.0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533</v>
      </c>
      <c r="P167" t="s">
        <v>531</v>
      </c>
    </row>
    <row r="168" spans="1:16" customHeight="1" ht="58">
      <c r="A168" s="16"/>
      <c r="B168" s="18" t="s">
        <v>366</v>
      </c>
      <c r="C168" s="17" t="s">
        <v>367</v>
      </c>
      <c r="D168" s="17" t="s">
        <v>535</v>
      </c>
      <c r="E168" s="17" t="s">
        <v>369</v>
      </c>
      <c r="F168" s="19"/>
      <c r="G168" s="20">
        <v>1.0</v>
      </c>
      <c r="H168" s="21">
        <v>286.0</v>
      </c>
      <c r="I168" s="21">
        <v>192.0</v>
      </c>
      <c r="J168" s="22">
        <v>741.0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536</v>
      </c>
      <c r="P168" t="s">
        <v>534</v>
      </c>
    </row>
    <row r="169" spans="1:16" customHeight="1" ht="58">
      <c r="A169" s="16"/>
      <c r="B169" s="18" t="s">
        <v>366</v>
      </c>
      <c r="C169" s="17" t="s">
        <v>367</v>
      </c>
      <c r="D169" s="17" t="s">
        <v>538</v>
      </c>
      <c r="E169" s="17" t="s">
        <v>369</v>
      </c>
      <c r="F169" s="19"/>
      <c r="G169" s="20">
        <v>1.0</v>
      </c>
      <c r="H169" s="21">
        <v>286.0</v>
      </c>
      <c r="I169" s="21">
        <v>192.0</v>
      </c>
      <c r="J169" s="22">
        <v>600.0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539</v>
      </c>
      <c r="P169" t="s">
        <v>537</v>
      </c>
    </row>
    <row r="170" spans="1:16" customHeight="1" ht="58">
      <c r="A170" s="16"/>
      <c r="B170" s="18" t="s">
        <v>366</v>
      </c>
      <c r="C170" s="17" t="s">
        <v>367</v>
      </c>
      <c r="D170" s="17" t="s">
        <v>541</v>
      </c>
      <c r="E170" s="17" t="s">
        <v>369</v>
      </c>
      <c r="F170" s="19"/>
      <c r="G170" s="20">
        <v>1.0</v>
      </c>
      <c r="H170" s="21">
        <v>286.0</v>
      </c>
      <c r="I170" s="21">
        <v>192.0</v>
      </c>
      <c r="J170" s="22">
        <v>484.0</v>
      </c>
      <c r="K170" s="50"/>
      <c r="L170" s="21" t="str">
        <f>IF(K170&gt;0,K170*I170,"")</f>
      </c>
      <c r="M170" s="52"/>
      <c r="N170" t="str">
        <f>IF(K170&gt;0,COUNTIF($K$7:K170,"&gt;0"),"")</f>
      </c>
      <c r="O170" t="s">
        <v>542</v>
      </c>
      <c r="P170" t="s">
        <v>540</v>
      </c>
    </row>
    <row r="171" spans="1:16" customHeight="1" ht="58">
      <c r="A171" s="16"/>
      <c r="B171" s="18" t="s">
        <v>366</v>
      </c>
      <c r="C171" s="17" t="s">
        <v>367</v>
      </c>
      <c r="D171" s="17" t="s">
        <v>544</v>
      </c>
      <c r="E171" s="17" t="s">
        <v>369</v>
      </c>
      <c r="F171" s="19"/>
      <c r="G171" s="20">
        <v>1.0</v>
      </c>
      <c r="H171" s="21">
        <v>286.0</v>
      </c>
      <c r="I171" s="21">
        <v>192.0</v>
      </c>
      <c r="J171" s="22">
        <v>2211.0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545</v>
      </c>
      <c r="P171" t="s">
        <v>543</v>
      </c>
    </row>
    <row r="172" spans="1:16" customHeight="1" ht="58">
      <c r="A172" s="16"/>
      <c r="B172" s="18" t="s">
        <v>366</v>
      </c>
      <c r="C172" s="17" t="s">
        <v>367</v>
      </c>
      <c r="D172" s="17" t="s">
        <v>547</v>
      </c>
      <c r="E172" s="17" t="s">
        <v>369</v>
      </c>
      <c r="F172" s="19"/>
      <c r="G172" s="20">
        <v>1.0</v>
      </c>
      <c r="H172" s="21">
        <v>286.0</v>
      </c>
      <c r="I172" s="21">
        <v>192.0</v>
      </c>
      <c r="J172" s="22">
        <v>915.0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548</v>
      </c>
      <c r="P172" t="s">
        <v>546</v>
      </c>
    </row>
    <row r="173" spans="1:16" customHeight="1" ht="58">
      <c r="A173" s="16"/>
      <c r="B173" s="18" t="s">
        <v>366</v>
      </c>
      <c r="C173" s="17" t="s">
        <v>367</v>
      </c>
      <c r="D173" s="17" t="s">
        <v>550</v>
      </c>
      <c r="E173" s="17" t="s">
        <v>369</v>
      </c>
      <c r="F173" s="19"/>
      <c r="G173" s="20">
        <v>1.0</v>
      </c>
      <c r="H173" s="21">
        <v>286.0</v>
      </c>
      <c r="I173" s="21">
        <v>192.0</v>
      </c>
      <c r="J173" s="22">
        <v>1044.0</v>
      </c>
      <c r="K173" s="50"/>
      <c r="L173" s="21" t="str">
        <f>IF(K173&gt;0,K173*I173,"")</f>
      </c>
      <c r="M173" s="52"/>
      <c r="N173" t="str">
        <f>IF(K173&gt;0,COUNTIF($K$7:K173,"&gt;0"),"")</f>
      </c>
      <c r="O173" t="s">
        <v>551</v>
      </c>
      <c r="P173" t="s">
        <v>549</v>
      </c>
    </row>
    <row r="174" spans="1:16" customHeight="1" ht="58">
      <c r="A174" s="16"/>
      <c r="B174" s="18" t="s">
        <v>366</v>
      </c>
      <c r="C174" s="17" t="s">
        <v>367</v>
      </c>
      <c r="D174" s="17" t="s">
        <v>553</v>
      </c>
      <c r="E174" s="17" t="s">
        <v>369</v>
      </c>
      <c r="F174" s="19"/>
      <c r="G174" s="20">
        <v>1.0</v>
      </c>
      <c r="H174" s="21">
        <v>286.0</v>
      </c>
      <c r="I174" s="21">
        <v>192.0</v>
      </c>
      <c r="J174" s="22">
        <v>1306.0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554</v>
      </c>
      <c r="P174" t="s">
        <v>552</v>
      </c>
    </row>
    <row r="175" spans="1:16" customHeight="1" ht="58">
      <c r="A175" s="16"/>
      <c r="B175" s="18" t="s">
        <v>556</v>
      </c>
      <c r="C175" s="17" t="s">
        <v>557</v>
      </c>
      <c r="D175" s="17" t="s">
        <v>558</v>
      </c>
      <c r="E175" s="17" t="s">
        <v>559</v>
      </c>
      <c r="F175" s="19"/>
      <c r="G175" s="20">
        <v>1.0</v>
      </c>
      <c r="H175" s="21">
        <v>275.0</v>
      </c>
      <c r="I175" s="21">
        <v>266.0</v>
      </c>
      <c r="J175" s="22">
        <v>72.0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560</v>
      </c>
      <c r="P175" t="s">
        <v>555</v>
      </c>
    </row>
    <row r="176" spans="1:16" customHeight="1" ht="58">
      <c r="A176" s="16"/>
      <c r="B176" s="18" t="s">
        <v>556</v>
      </c>
      <c r="C176" s="17" t="s">
        <v>557</v>
      </c>
      <c r="D176" s="17" t="s">
        <v>562</v>
      </c>
      <c r="E176" s="17" t="s">
        <v>559</v>
      </c>
      <c r="F176" s="19"/>
      <c r="G176" s="20">
        <v>1.0</v>
      </c>
      <c r="H176" s="21">
        <v>275.0</v>
      </c>
      <c r="I176" s="21">
        <v>266.0</v>
      </c>
      <c r="J176" s="22">
        <v>83.0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563</v>
      </c>
      <c r="P176" t="s">
        <v>561</v>
      </c>
    </row>
    <row r="177" spans="1:16" customHeight="1" ht="58">
      <c r="A177" s="16"/>
      <c r="B177" s="18" t="s">
        <v>565</v>
      </c>
      <c r="C177" s="17" t="s">
        <v>566</v>
      </c>
      <c r="D177" s="17" t="s">
        <v>567</v>
      </c>
      <c r="E177" s="17" t="s">
        <v>568</v>
      </c>
      <c r="F177" s="19"/>
      <c r="G177" s="20">
        <v>1.0</v>
      </c>
      <c r="H177" s="21">
        <v>209.0</v>
      </c>
      <c r="I177" s="21">
        <v>132.0</v>
      </c>
      <c r="J177" s="22">
        <v>97.0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569</v>
      </c>
      <c r="P177" t="s">
        <v>564</v>
      </c>
    </row>
    <row r="178" spans="1:16" customHeight="1" ht="58">
      <c r="A178" s="16"/>
      <c r="B178" s="18" t="s">
        <v>571</v>
      </c>
      <c r="C178" s="17" t="s">
        <v>566</v>
      </c>
      <c r="D178" s="17" t="s">
        <v>572</v>
      </c>
      <c r="E178" s="17" t="s">
        <v>573</v>
      </c>
      <c r="F178" s="19"/>
      <c r="G178" s="20">
        <v>1.0</v>
      </c>
      <c r="H178" s="21">
        <v>198.0</v>
      </c>
      <c r="I178" s="21">
        <v>123.0</v>
      </c>
      <c r="J178" s="22">
        <v>159.0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574</v>
      </c>
      <c r="P178" t="s">
        <v>570</v>
      </c>
    </row>
    <row r="179" spans="1:16" customHeight="1" ht="58">
      <c r="A179" s="16"/>
      <c r="B179" s="18" t="s">
        <v>571</v>
      </c>
      <c r="C179" s="17" t="s">
        <v>566</v>
      </c>
      <c r="D179" s="17" t="s">
        <v>174</v>
      </c>
      <c r="E179" s="17" t="s">
        <v>573</v>
      </c>
      <c r="F179" s="19"/>
      <c r="G179" s="20">
        <v>1.0</v>
      </c>
      <c r="H179" s="21">
        <v>198.0</v>
      </c>
      <c r="I179" s="21">
        <v>123.0</v>
      </c>
      <c r="J179" s="22">
        <v>59.0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576</v>
      </c>
      <c r="P179" t="s">
        <v>575</v>
      </c>
    </row>
    <row r="180" spans="1:16" customHeight="1" ht="58">
      <c r="A180" s="16"/>
      <c r="B180" s="18" t="s">
        <v>571</v>
      </c>
      <c r="C180" s="17" t="s">
        <v>566</v>
      </c>
      <c r="D180" s="17" t="s">
        <v>294</v>
      </c>
      <c r="E180" s="17" t="s">
        <v>573</v>
      </c>
      <c r="F180" s="19"/>
      <c r="G180" s="20">
        <v>1.0</v>
      </c>
      <c r="H180" s="21">
        <v>198.0</v>
      </c>
      <c r="I180" s="21">
        <v>123.0</v>
      </c>
      <c r="J180" s="22">
        <v>125.0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578</v>
      </c>
      <c r="P180" t="s">
        <v>577</v>
      </c>
    </row>
    <row r="181" spans="1:16" customHeight="1" ht="58">
      <c r="A181" s="16"/>
      <c r="B181" s="18" t="s">
        <v>571</v>
      </c>
      <c r="C181" s="17" t="s">
        <v>566</v>
      </c>
      <c r="D181" s="17" t="s">
        <v>580</v>
      </c>
      <c r="E181" s="17" t="s">
        <v>573</v>
      </c>
      <c r="F181" s="19"/>
      <c r="G181" s="20">
        <v>1.0</v>
      </c>
      <c r="H181" s="21">
        <v>198.0</v>
      </c>
      <c r="I181" s="21">
        <v>123.0</v>
      </c>
      <c r="J181" s="22">
        <v>1.0</v>
      </c>
      <c r="K181" s="50"/>
      <c r="L181" s="21" t="str">
        <f>IF(K181&gt;0,K181*I181,"")</f>
      </c>
      <c r="M181" s="52"/>
      <c r="N181" t="str">
        <f>IF(K181&gt;0,COUNTIF($K$7:K181,"&gt;0"),"")</f>
      </c>
      <c r="O181" t="s">
        <v>581</v>
      </c>
      <c r="P181" t="s">
        <v>579</v>
      </c>
    </row>
    <row r="182" spans="1:16" customHeight="1" ht="58">
      <c r="A182" s="16"/>
      <c r="B182" s="18" t="s">
        <v>571</v>
      </c>
      <c r="C182" s="17" t="s">
        <v>566</v>
      </c>
      <c r="D182" s="17" t="s">
        <v>583</v>
      </c>
      <c r="E182" s="17" t="s">
        <v>573</v>
      </c>
      <c r="F182" s="19"/>
      <c r="G182" s="20">
        <v>1.0</v>
      </c>
      <c r="H182" s="21">
        <v>198.0</v>
      </c>
      <c r="I182" s="21">
        <v>123.0</v>
      </c>
      <c r="J182" s="22">
        <v>68.0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584</v>
      </c>
      <c r="P182" t="s">
        <v>582</v>
      </c>
    </row>
    <row r="183" spans="1:16" customHeight="1" ht="58">
      <c r="A183" s="16"/>
      <c r="B183" s="18" t="s">
        <v>586</v>
      </c>
      <c r="C183" s="17" t="s">
        <v>566</v>
      </c>
      <c r="D183" s="17" t="s">
        <v>174</v>
      </c>
      <c r="E183" s="17" t="s">
        <v>587</v>
      </c>
      <c r="F183" s="19"/>
      <c r="G183" s="20">
        <v>1.0</v>
      </c>
      <c r="H183" s="21">
        <v>198.0</v>
      </c>
      <c r="I183" s="21">
        <v>122.0</v>
      </c>
      <c r="J183" s="22">
        <v>142.0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588</v>
      </c>
      <c r="P183" t="s">
        <v>585</v>
      </c>
    </row>
    <row r="184" spans="1:16" customHeight="1" ht="58">
      <c r="A184" s="16"/>
      <c r="B184" s="18" t="s">
        <v>586</v>
      </c>
      <c r="C184" s="17" t="s">
        <v>566</v>
      </c>
      <c r="D184" s="17" t="s">
        <v>580</v>
      </c>
      <c r="E184" s="17" t="s">
        <v>587</v>
      </c>
      <c r="F184" s="19"/>
      <c r="G184" s="20">
        <v>1.0</v>
      </c>
      <c r="H184" s="21">
        <v>198.0</v>
      </c>
      <c r="I184" s="21">
        <v>122.0</v>
      </c>
      <c r="J184" s="22">
        <v>131.0</v>
      </c>
      <c r="K184" s="50"/>
      <c r="L184" s="21" t="str">
        <f>IF(K184&gt;0,K184*I184,"")</f>
      </c>
      <c r="M184" s="52"/>
      <c r="N184" t="str">
        <f>IF(K184&gt;0,COUNTIF($K$7:K184,"&gt;0"),"")</f>
      </c>
      <c r="O184" t="s">
        <v>590</v>
      </c>
      <c r="P184" t="s">
        <v>589</v>
      </c>
    </row>
    <row r="185" spans="1:16" customHeight="1" ht="58">
      <c r="A185" s="16"/>
      <c r="B185" s="18" t="s">
        <v>586</v>
      </c>
      <c r="C185" s="17" t="s">
        <v>566</v>
      </c>
      <c r="D185" s="17" t="s">
        <v>583</v>
      </c>
      <c r="E185" s="17" t="s">
        <v>587</v>
      </c>
      <c r="F185" s="19"/>
      <c r="G185" s="20">
        <v>1.0</v>
      </c>
      <c r="H185" s="21">
        <v>198.0</v>
      </c>
      <c r="I185" s="21">
        <v>122.0</v>
      </c>
      <c r="J185" s="22">
        <v>212.0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592</v>
      </c>
      <c r="P185" t="s">
        <v>591</v>
      </c>
    </row>
    <row r="186" spans="1:16" customHeight="1" ht="58">
      <c r="A186" s="16"/>
      <c r="B186" s="18" t="s">
        <v>586</v>
      </c>
      <c r="C186" s="17" t="s">
        <v>566</v>
      </c>
      <c r="D186" s="17" t="s">
        <v>294</v>
      </c>
      <c r="E186" s="17" t="s">
        <v>587</v>
      </c>
      <c r="F186" s="19"/>
      <c r="G186" s="20">
        <v>1.0</v>
      </c>
      <c r="H186" s="21">
        <v>198.0</v>
      </c>
      <c r="I186" s="21">
        <v>122.0</v>
      </c>
      <c r="J186" s="22">
        <v>56.0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594</v>
      </c>
      <c r="P186" t="s">
        <v>593</v>
      </c>
    </row>
    <row r="187" spans="1:16" customHeight="1" ht="58">
      <c r="A187" s="16"/>
      <c r="B187" s="18" t="s">
        <v>596</v>
      </c>
      <c r="C187" s="17" t="s">
        <v>566</v>
      </c>
      <c r="D187" s="17" t="s">
        <v>282</v>
      </c>
      <c r="E187" s="17" t="s">
        <v>597</v>
      </c>
      <c r="F187" s="19"/>
      <c r="G187" s="20">
        <v>1.0</v>
      </c>
      <c r="H187" s="21">
        <v>209.0</v>
      </c>
      <c r="I187" s="21">
        <v>132.0</v>
      </c>
      <c r="J187" s="22">
        <v>61.0</v>
      </c>
      <c r="K187" s="50"/>
      <c r="L187" s="21" t="str">
        <f>IF(K187&gt;0,K187*I187,"")</f>
      </c>
      <c r="M187" s="52"/>
      <c r="N187" t="str">
        <f>IF(K187&gt;0,COUNTIF($K$7:K187,"&gt;0"),"")</f>
      </c>
      <c r="P187" t="s">
        <v>595</v>
      </c>
    </row>
    <row r="188" spans="1:16" customHeight="1" ht="58">
      <c r="A188" s="16"/>
      <c r="B188" s="18" t="s">
        <v>599</v>
      </c>
      <c r="C188" s="17" t="s">
        <v>566</v>
      </c>
      <c r="D188" s="17" t="s">
        <v>267</v>
      </c>
      <c r="E188" s="17" t="s">
        <v>600</v>
      </c>
      <c r="F188" s="19"/>
      <c r="G188" s="20">
        <v>1.0</v>
      </c>
      <c r="H188" s="21">
        <v>231.0</v>
      </c>
      <c r="I188" s="21">
        <v>143.0</v>
      </c>
      <c r="J188" s="22">
        <v>4.0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601</v>
      </c>
      <c r="P188" t="s">
        <v>598</v>
      </c>
    </row>
    <row r="189" spans="1:16" customHeight="1" ht="58">
      <c r="A189" s="16"/>
      <c r="B189" s="18" t="s">
        <v>599</v>
      </c>
      <c r="C189" s="17" t="s">
        <v>566</v>
      </c>
      <c r="D189" s="17" t="s">
        <v>258</v>
      </c>
      <c r="E189" s="17" t="s">
        <v>600</v>
      </c>
      <c r="F189" s="19"/>
      <c r="G189" s="20">
        <v>1.0</v>
      </c>
      <c r="H189" s="21">
        <v>231.0</v>
      </c>
      <c r="I189" s="21">
        <v>143.0</v>
      </c>
      <c r="J189" s="22">
        <v>79.0</v>
      </c>
      <c r="K189" s="50"/>
      <c r="L189" s="21" t="str">
        <f>IF(K189&gt;0,K189*I189,"")</f>
      </c>
      <c r="M189" s="52"/>
      <c r="N189" t="str">
        <f>IF(K189&gt;0,COUNTIF($K$7:K189,"&gt;0"),"")</f>
      </c>
      <c r="O189" t="s">
        <v>603</v>
      </c>
      <c r="P189" t="s">
        <v>602</v>
      </c>
    </row>
    <row r="190" spans="1:16" customHeight="1" ht="58">
      <c r="A190" s="16"/>
      <c r="B190" s="18" t="s">
        <v>605</v>
      </c>
      <c r="C190" s="17" t="s">
        <v>566</v>
      </c>
      <c r="D190" s="17" t="s">
        <v>606</v>
      </c>
      <c r="E190" s="17" t="s">
        <v>607</v>
      </c>
      <c r="F190" s="19"/>
      <c r="G190" s="20">
        <v>1.0</v>
      </c>
      <c r="H190" s="21">
        <v>308.0</v>
      </c>
      <c r="I190" s="21">
        <v>196.0</v>
      </c>
      <c r="J190" s="22">
        <v>36.0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608</v>
      </c>
      <c r="P190" t="s">
        <v>604</v>
      </c>
    </row>
    <row r="191" spans="1:16" customHeight="1" ht="58">
      <c r="A191" s="16"/>
      <c r="B191" s="18" t="s">
        <v>605</v>
      </c>
      <c r="C191" s="17" t="s">
        <v>566</v>
      </c>
      <c r="D191" s="17" t="s">
        <v>610</v>
      </c>
      <c r="E191" s="17" t="s">
        <v>607</v>
      </c>
      <c r="F191" s="19"/>
      <c r="G191" s="20">
        <v>1.0</v>
      </c>
      <c r="H191" s="21">
        <v>308.0</v>
      </c>
      <c r="I191" s="21">
        <v>196.0</v>
      </c>
      <c r="J191" s="22">
        <v>114.0</v>
      </c>
      <c r="K191" s="50"/>
      <c r="L191" s="21" t="str">
        <f>IF(K191&gt;0,K191*I191,"")</f>
      </c>
      <c r="M191" s="52"/>
      <c r="N191" t="str">
        <f>IF(K191&gt;0,COUNTIF($K$7:K191,"&gt;0"),"")</f>
      </c>
      <c r="O191" t="s">
        <v>611</v>
      </c>
      <c r="P191" t="s">
        <v>609</v>
      </c>
    </row>
    <row r="192" spans="1:16" customHeight="1" ht="58">
      <c r="A192" s="16"/>
      <c r="B192" s="18" t="s">
        <v>605</v>
      </c>
      <c r="C192" s="17" t="s">
        <v>566</v>
      </c>
      <c r="D192" s="17" t="s">
        <v>613</v>
      </c>
      <c r="E192" s="17" t="s">
        <v>607</v>
      </c>
      <c r="F192" s="19"/>
      <c r="G192" s="20">
        <v>1.0</v>
      </c>
      <c r="H192" s="21">
        <v>308.0</v>
      </c>
      <c r="I192" s="21">
        <v>196.0</v>
      </c>
      <c r="J192" s="22">
        <v>54.0</v>
      </c>
      <c r="K192" s="50"/>
      <c r="L192" s="21" t="str">
        <f>IF(K192&gt;0,K192*I192,"")</f>
      </c>
      <c r="M192" s="52"/>
      <c r="N192" t="str">
        <f>IF(K192&gt;0,COUNTIF($K$7:K192,"&gt;0"),"")</f>
      </c>
      <c r="O192" t="s">
        <v>614</v>
      </c>
      <c r="P192" t="s">
        <v>612</v>
      </c>
    </row>
    <row r="193" spans="1:16" customHeight="1" ht="58">
      <c r="A193" s="16"/>
      <c r="B193" s="18" t="s">
        <v>605</v>
      </c>
      <c r="C193" s="17" t="s">
        <v>566</v>
      </c>
      <c r="D193" s="17" t="s">
        <v>616</v>
      </c>
      <c r="E193" s="17" t="s">
        <v>607</v>
      </c>
      <c r="F193" s="19"/>
      <c r="G193" s="20">
        <v>1.0</v>
      </c>
      <c r="H193" s="21">
        <v>308.0</v>
      </c>
      <c r="I193" s="21">
        <v>196.0</v>
      </c>
      <c r="J193" s="22">
        <v>126.0</v>
      </c>
      <c r="K193" s="50"/>
      <c r="L193" s="21" t="str">
        <f>IF(K193&gt;0,K193*I193,"")</f>
      </c>
      <c r="M193" s="52"/>
      <c r="N193" t="str">
        <f>IF(K193&gt;0,COUNTIF($K$7:K193,"&gt;0"),"")</f>
      </c>
      <c r="O193" t="s">
        <v>617</v>
      </c>
      <c r="P193" t="s">
        <v>615</v>
      </c>
    </row>
    <row r="194" spans="1:16" customHeight="1" ht="58">
      <c r="A194" s="16"/>
      <c r="B194" s="18" t="s">
        <v>605</v>
      </c>
      <c r="C194" s="17" t="s">
        <v>566</v>
      </c>
      <c r="D194" s="17" t="s">
        <v>619</v>
      </c>
      <c r="E194" s="17" t="s">
        <v>607</v>
      </c>
      <c r="F194" s="19"/>
      <c r="G194" s="20">
        <v>1.0</v>
      </c>
      <c r="H194" s="21">
        <v>308.0</v>
      </c>
      <c r="I194" s="21">
        <v>196.0</v>
      </c>
      <c r="J194" s="22">
        <v>80.0</v>
      </c>
      <c r="K194" s="50"/>
      <c r="L194" s="21" t="str">
        <f>IF(K194&gt;0,K194*I194,"")</f>
      </c>
      <c r="M194" s="52"/>
      <c r="N194" t="str">
        <f>IF(K194&gt;0,COUNTIF($K$7:K194,"&gt;0"),"")</f>
      </c>
      <c r="O194" t="s">
        <v>620</v>
      </c>
      <c r="P194" t="s">
        <v>618</v>
      </c>
    </row>
    <row r="195" spans="1:16" customHeight="1" ht="58">
      <c r="A195" s="16"/>
      <c r="B195" s="18" t="s">
        <v>605</v>
      </c>
      <c r="C195" s="17" t="s">
        <v>566</v>
      </c>
      <c r="D195" s="17" t="s">
        <v>622</v>
      </c>
      <c r="E195" s="17" t="s">
        <v>607</v>
      </c>
      <c r="F195" s="19"/>
      <c r="G195" s="20">
        <v>1.0</v>
      </c>
      <c r="H195" s="21">
        <v>308.0</v>
      </c>
      <c r="I195" s="21">
        <v>196.0</v>
      </c>
      <c r="J195" s="22">
        <v>42.0</v>
      </c>
      <c r="K195" s="50"/>
      <c r="L195" s="21" t="str">
        <f>IF(K195&gt;0,K195*I195,"")</f>
      </c>
      <c r="M195" s="52"/>
      <c r="N195" t="str">
        <f>IF(K195&gt;0,COUNTIF($K$7:K195,"&gt;0"),"")</f>
      </c>
      <c r="O195" t="s">
        <v>620</v>
      </c>
      <c r="P195" t="s">
        <v>621</v>
      </c>
    </row>
    <row r="196" spans="1:16" customHeight="1" ht="58">
      <c r="A196" s="16"/>
      <c r="B196" s="18" t="s">
        <v>605</v>
      </c>
      <c r="C196" s="17" t="s">
        <v>566</v>
      </c>
      <c r="D196" s="17" t="s">
        <v>624</v>
      </c>
      <c r="E196" s="17" t="s">
        <v>607</v>
      </c>
      <c r="F196" s="19"/>
      <c r="G196" s="20">
        <v>1.0</v>
      </c>
      <c r="H196" s="21">
        <v>308.0</v>
      </c>
      <c r="I196" s="21">
        <v>196.0</v>
      </c>
      <c r="J196" s="22">
        <v>7.0</v>
      </c>
      <c r="K196" s="50"/>
      <c r="L196" s="21" t="str">
        <f>IF(K196&gt;0,K196*I196,"")</f>
      </c>
      <c r="M196" s="52"/>
      <c r="N196" t="str">
        <f>IF(K196&gt;0,COUNTIF($K$7:K196,"&gt;0"),"")</f>
      </c>
      <c r="O196" t="s">
        <v>620</v>
      </c>
      <c r="P196" t="s">
        <v>623</v>
      </c>
    </row>
    <row r="197" spans="1:16" customHeight="1" ht="58">
      <c r="A197" s="16"/>
      <c r="B197" s="18" t="s">
        <v>605</v>
      </c>
      <c r="C197" s="17" t="s">
        <v>566</v>
      </c>
      <c r="D197" s="17" t="s">
        <v>626</v>
      </c>
      <c r="E197" s="17" t="s">
        <v>607</v>
      </c>
      <c r="F197" s="19"/>
      <c r="G197" s="20">
        <v>1.0</v>
      </c>
      <c r="H197" s="21">
        <v>308.0</v>
      </c>
      <c r="I197" s="21">
        <v>196.0</v>
      </c>
      <c r="J197" s="22">
        <v>43.0</v>
      </c>
      <c r="K197" s="50"/>
      <c r="L197" s="21" t="str">
        <f>IF(K197&gt;0,K197*I197,"")</f>
      </c>
      <c r="M197" s="52"/>
      <c r="N197" t="str">
        <f>IF(K197&gt;0,COUNTIF($K$7:K197,"&gt;0"),"")</f>
      </c>
      <c r="O197" t="s">
        <v>627</v>
      </c>
      <c r="P197" t="s">
        <v>625</v>
      </c>
    </row>
    <row r="198" spans="1:16" customHeight="1" ht="58">
      <c r="A198" s="16"/>
      <c r="B198" s="18" t="s">
        <v>605</v>
      </c>
      <c r="C198" s="17" t="s">
        <v>566</v>
      </c>
      <c r="D198" s="17" t="s">
        <v>629</v>
      </c>
      <c r="E198" s="17" t="s">
        <v>607</v>
      </c>
      <c r="F198" s="19"/>
      <c r="G198" s="20">
        <v>1.0</v>
      </c>
      <c r="H198" s="21">
        <v>308.0</v>
      </c>
      <c r="I198" s="21">
        <v>196.0</v>
      </c>
      <c r="J198" s="22">
        <v>57.0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620</v>
      </c>
      <c r="P198" t="s">
        <v>628</v>
      </c>
    </row>
    <row r="199" spans="1:16" customHeight="1" ht="58">
      <c r="A199" s="16"/>
      <c r="B199" s="18" t="s">
        <v>631</v>
      </c>
      <c r="C199" s="17" t="s">
        <v>566</v>
      </c>
      <c r="D199" s="17" t="s">
        <v>258</v>
      </c>
      <c r="E199" s="17" t="s">
        <v>632</v>
      </c>
      <c r="F199" s="19"/>
      <c r="G199" s="20">
        <v>1.0</v>
      </c>
      <c r="H199" s="21">
        <v>209.0</v>
      </c>
      <c r="I199" s="21">
        <v>131.0</v>
      </c>
      <c r="J199" s="22">
        <v>58.0</v>
      </c>
      <c r="K199" s="50"/>
      <c r="L199" s="21" t="str">
        <f>IF(K199&gt;0,K199*I199,"")</f>
      </c>
      <c r="M199" s="52"/>
      <c r="N199" t="str">
        <f>IF(K199&gt;0,COUNTIF($K$7:K199,"&gt;0"),"")</f>
      </c>
      <c r="O199" t="s">
        <v>633</v>
      </c>
      <c r="P199" t="s">
        <v>630</v>
      </c>
    </row>
    <row r="200" spans="1:16" customHeight="1" ht="58">
      <c r="A200" s="16"/>
      <c r="B200" s="18" t="s">
        <v>631</v>
      </c>
      <c r="C200" s="17" t="s">
        <v>566</v>
      </c>
      <c r="D200" s="17" t="s">
        <v>273</v>
      </c>
      <c r="E200" s="17" t="s">
        <v>632</v>
      </c>
      <c r="F200" s="19"/>
      <c r="G200" s="20">
        <v>1.0</v>
      </c>
      <c r="H200" s="21">
        <v>209.0</v>
      </c>
      <c r="I200" s="21">
        <v>131.0</v>
      </c>
      <c r="J200" s="22">
        <v>60.0</v>
      </c>
      <c r="K200" s="50"/>
      <c r="L200" s="21" t="str">
        <f>IF(K200&gt;0,K200*I200,"")</f>
      </c>
      <c r="M200" s="52"/>
      <c r="N200" t="str">
        <f>IF(K200&gt;0,COUNTIF($K$7:K200,"&gt;0"),"")</f>
      </c>
      <c r="O200" t="s">
        <v>635</v>
      </c>
      <c r="P200" t="s">
        <v>634</v>
      </c>
    </row>
    <row r="201" spans="1:16" customHeight="1" ht="58">
      <c r="A201" s="16"/>
      <c r="B201" s="18" t="s">
        <v>631</v>
      </c>
      <c r="C201" s="17" t="s">
        <v>566</v>
      </c>
      <c r="D201" s="17" t="s">
        <v>267</v>
      </c>
      <c r="E201" s="17" t="s">
        <v>632</v>
      </c>
      <c r="F201" s="19"/>
      <c r="G201" s="20">
        <v>1.0</v>
      </c>
      <c r="H201" s="21">
        <v>209.0</v>
      </c>
      <c r="I201" s="21">
        <v>131.0</v>
      </c>
      <c r="J201" s="22">
        <v>130.0</v>
      </c>
      <c r="K201" s="50"/>
      <c r="L201" s="21" t="str">
        <f>IF(K201&gt;0,K201*I201,"")</f>
      </c>
      <c r="M201" s="52"/>
      <c r="N201" t="str">
        <f>IF(K201&gt;0,COUNTIF($K$7:K201,"&gt;0"),"")</f>
      </c>
      <c r="O201" t="s">
        <v>637</v>
      </c>
      <c r="P201" t="s">
        <v>636</v>
      </c>
    </row>
    <row r="202" spans="1:16" customHeight="1" ht="58">
      <c r="A202" s="16"/>
      <c r="B202" s="18" t="s">
        <v>631</v>
      </c>
      <c r="C202" s="17" t="s">
        <v>566</v>
      </c>
      <c r="D202" s="17" t="s">
        <v>270</v>
      </c>
      <c r="E202" s="17" t="s">
        <v>632</v>
      </c>
      <c r="F202" s="19"/>
      <c r="G202" s="20">
        <v>1.0</v>
      </c>
      <c r="H202" s="21">
        <v>209.0</v>
      </c>
      <c r="I202" s="21">
        <v>131.0</v>
      </c>
      <c r="J202" s="22">
        <v>73.0</v>
      </c>
      <c r="K202" s="50"/>
      <c r="L202" s="21" t="str">
        <f>IF(K202&gt;0,K202*I202,"")</f>
      </c>
      <c r="M202" s="52"/>
      <c r="N202" t="str">
        <f>IF(K202&gt;0,COUNTIF($K$7:K202,"&gt;0"),"")</f>
      </c>
      <c r="O202" t="s">
        <v>639</v>
      </c>
      <c r="P202" t="s">
        <v>638</v>
      </c>
    </row>
    <row r="203" spans="1:16" customHeight="1" ht="58">
      <c r="A203" s="16"/>
      <c r="B203" s="18" t="s">
        <v>631</v>
      </c>
      <c r="C203" s="17" t="s">
        <v>566</v>
      </c>
      <c r="D203" s="17" t="s">
        <v>641</v>
      </c>
      <c r="E203" s="17" t="s">
        <v>632</v>
      </c>
      <c r="F203" s="19"/>
      <c r="G203" s="20">
        <v>1.0</v>
      </c>
      <c r="H203" s="21">
        <v>209.0</v>
      </c>
      <c r="I203" s="21">
        <v>131.0</v>
      </c>
      <c r="J203" s="22">
        <v>8.0</v>
      </c>
      <c r="K203" s="50"/>
      <c r="L203" s="21" t="str">
        <f>IF(K203&gt;0,K203*I203,"")</f>
      </c>
      <c r="M203" s="52"/>
      <c r="N203" t="str">
        <f>IF(K203&gt;0,COUNTIF($K$7:K203,"&gt;0"),"")</f>
      </c>
      <c r="O203" t="s">
        <v>642</v>
      </c>
      <c r="P203" t="s">
        <v>640</v>
      </c>
    </row>
    <row r="204" spans="1:16" customHeight="1" ht="58">
      <c r="A204" s="16"/>
      <c r="B204" s="18" t="s">
        <v>631</v>
      </c>
      <c r="C204" s="17" t="s">
        <v>566</v>
      </c>
      <c r="D204" s="17" t="s">
        <v>331</v>
      </c>
      <c r="E204" s="17" t="s">
        <v>632</v>
      </c>
      <c r="F204" s="19"/>
      <c r="G204" s="20">
        <v>1.0</v>
      </c>
      <c r="H204" s="21">
        <v>209.0</v>
      </c>
      <c r="I204" s="21">
        <v>131.0</v>
      </c>
      <c r="J204" s="22">
        <v>6.0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644</v>
      </c>
      <c r="P204" t="s">
        <v>643</v>
      </c>
    </row>
    <row r="205" spans="1:16" customHeight="1" ht="58">
      <c r="A205" s="16"/>
      <c r="B205" s="18" t="s">
        <v>631</v>
      </c>
      <c r="C205" s="17" t="s">
        <v>566</v>
      </c>
      <c r="D205" s="17" t="s">
        <v>646</v>
      </c>
      <c r="E205" s="17" t="s">
        <v>632</v>
      </c>
      <c r="F205" s="19"/>
      <c r="G205" s="20">
        <v>1.0</v>
      </c>
      <c r="H205" s="21">
        <v>209.0</v>
      </c>
      <c r="I205" s="21">
        <v>131.0</v>
      </c>
      <c r="J205" s="22">
        <v>155.0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647</v>
      </c>
      <c r="P205" t="s">
        <v>645</v>
      </c>
    </row>
    <row r="206" spans="1:16" customHeight="1" ht="58">
      <c r="A206" s="16"/>
      <c r="B206" s="18" t="s">
        <v>631</v>
      </c>
      <c r="C206" s="17" t="s">
        <v>566</v>
      </c>
      <c r="D206" s="17" t="s">
        <v>254</v>
      </c>
      <c r="E206" s="17" t="s">
        <v>632</v>
      </c>
      <c r="F206" s="19"/>
      <c r="G206" s="20">
        <v>1.0</v>
      </c>
      <c r="H206" s="21">
        <v>209.0</v>
      </c>
      <c r="I206" s="21">
        <v>131.0</v>
      </c>
      <c r="J206" s="22">
        <v>104.0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649</v>
      </c>
      <c r="P206" t="s">
        <v>648</v>
      </c>
    </row>
    <row r="207" spans="1:16" customHeight="1" ht="58">
      <c r="A207" s="16"/>
      <c r="B207" s="18" t="s">
        <v>631</v>
      </c>
      <c r="C207" s="17" t="s">
        <v>566</v>
      </c>
      <c r="D207" s="17" t="s">
        <v>264</v>
      </c>
      <c r="E207" s="17" t="s">
        <v>632</v>
      </c>
      <c r="F207" s="19"/>
      <c r="G207" s="20">
        <v>1.0</v>
      </c>
      <c r="H207" s="21">
        <v>209.0</v>
      </c>
      <c r="I207" s="21">
        <v>131.0</v>
      </c>
      <c r="J207" s="22">
        <v>1.0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651</v>
      </c>
      <c r="P207" t="s">
        <v>650</v>
      </c>
    </row>
    <row r="208" spans="1:16" customHeight="1" ht="58">
      <c r="A208" s="16"/>
      <c r="B208" s="18" t="s">
        <v>653</v>
      </c>
      <c r="C208" s="17" t="s">
        <v>566</v>
      </c>
      <c r="D208" s="17" t="s">
        <v>654</v>
      </c>
      <c r="E208" s="17" t="s">
        <v>655</v>
      </c>
      <c r="F208" s="19"/>
      <c r="G208" s="20">
        <v>1.0</v>
      </c>
      <c r="H208" s="21">
        <v>198.0</v>
      </c>
      <c r="I208" s="21">
        <v>123.0</v>
      </c>
      <c r="J208" s="22">
        <v>63.0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656</v>
      </c>
      <c r="P208" t="s">
        <v>652</v>
      </c>
    </row>
    <row r="209" spans="1:16" customHeight="1" ht="58">
      <c r="A209" s="16"/>
      <c r="B209" s="18" t="s">
        <v>653</v>
      </c>
      <c r="C209" s="17" t="s">
        <v>566</v>
      </c>
      <c r="D209" s="17" t="s">
        <v>144</v>
      </c>
      <c r="E209" s="17" t="s">
        <v>655</v>
      </c>
      <c r="F209" s="19"/>
      <c r="G209" s="20">
        <v>1.0</v>
      </c>
      <c r="H209" s="21">
        <v>198.0</v>
      </c>
      <c r="I209" s="21">
        <v>123.0</v>
      </c>
      <c r="J209" s="22">
        <v>147.0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658</v>
      </c>
      <c r="P209" t="s">
        <v>657</v>
      </c>
    </row>
    <row r="210" spans="1:16" customHeight="1" ht="58">
      <c r="A210" s="16"/>
      <c r="B210" s="18" t="s">
        <v>653</v>
      </c>
      <c r="C210" s="17" t="s">
        <v>566</v>
      </c>
      <c r="D210" s="17" t="s">
        <v>660</v>
      </c>
      <c r="E210" s="17" t="s">
        <v>655</v>
      </c>
      <c r="F210" s="19"/>
      <c r="G210" s="20">
        <v>1.0</v>
      </c>
      <c r="H210" s="21">
        <v>198.0</v>
      </c>
      <c r="I210" s="21">
        <v>123.0</v>
      </c>
      <c r="J210" s="22">
        <v>117.0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661</v>
      </c>
      <c r="P210" t="s">
        <v>659</v>
      </c>
    </row>
    <row r="211" spans="1:16" customHeight="1" ht="58">
      <c r="A211" s="16"/>
      <c r="B211" s="18" t="s">
        <v>653</v>
      </c>
      <c r="C211" s="17" t="s">
        <v>566</v>
      </c>
      <c r="D211" s="17" t="s">
        <v>136</v>
      </c>
      <c r="E211" s="17" t="s">
        <v>655</v>
      </c>
      <c r="F211" s="19"/>
      <c r="G211" s="20">
        <v>1.0</v>
      </c>
      <c r="H211" s="21">
        <v>198.0</v>
      </c>
      <c r="I211" s="21">
        <v>123.0</v>
      </c>
      <c r="J211" s="22">
        <v>105.0</v>
      </c>
      <c r="K211" s="50"/>
      <c r="L211" s="21" t="str">
        <f>IF(K211&gt;0,K211*I211,"")</f>
      </c>
      <c r="M211" s="52"/>
      <c r="N211" t="str">
        <f>IF(K211&gt;0,COUNTIF($K$7:K211,"&gt;0"),"")</f>
      </c>
      <c r="O211" t="s">
        <v>663</v>
      </c>
      <c r="P211" t="s">
        <v>662</v>
      </c>
    </row>
    <row r="212" spans="1:16" customHeight="1" ht="58">
      <c r="A212" s="16"/>
      <c r="B212" s="18" t="s">
        <v>653</v>
      </c>
      <c r="C212" s="17" t="s">
        <v>566</v>
      </c>
      <c r="D212" s="17" t="s">
        <v>665</v>
      </c>
      <c r="E212" s="17" t="s">
        <v>655</v>
      </c>
      <c r="F212" s="19"/>
      <c r="G212" s="20">
        <v>1.0</v>
      </c>
      <c r="H212" s="21">
        <v>198.0</v>
      </c>
      <c r="I212" s="21">
        <v>123.0</v>
      </c>
      <c r="J212" s="22">
        <v>37.0</v>
      </c>
      <c r="K212" s="50"/>
      <c r="L212" s="21" t="str">
        <f>IF(K212&gt;0,K212*I212,"")</f>
      </c>
      <c r="M212" s="52"/>
      <c r="N212" t="str">
        <f>IF(K212&gt;0,COUNTIF($K$7:K212,"&gt;0"),"")</f>
      </c>
      <c r="O212" t="s">
        <v>666</v>
      </c>
      <c r="P212" t="s">
        <v>664</v>
      </c>
    </row>
    <row r="213" spans="1:16" customHeight="1" ht="58">
      <c r="A213" s="16"/>
      <c r="B213" s="18" t="s">
        <v>653</v>
      </c>
      <c r="C213" s="17" t="s">
        <v>566</v>
      </c>
      <c r="D213" s="17" t="s">
        <v>356</v>
      </c>
      <c r="E213" s="17" t="s">
        <v>655</v>
      </c>
      <c r="F213" s="19"/>
      <c r="G213" s="20">
        <v>1.0</v>
      </c>
      <c r="H213" s="21">
        <v>198.0</v>
      </c>
      <c r="I213" s="21">
        <v>123.0</v>
      </c>
      <c r="J213" s="22">
        <v>78.0</v>
      </c>
      <c r="K213" s="50"/>
      <c r="L213" s="21" t="str">
        <f>IF(K213&gt;0,K213*I213,"")</f>
      </c>
      <c r="M213" s="52"/>
      <c r="N213" t="str">
        <f>IF(K213&gt;0,COUNTIF($K$7:K213,"&gt;0"),"")</f>
      </c>
      <c r="O213" t="s">
        <v>668</v>
      </c>
      <c r="P213" t="s">
        <v>667</v>
      </c>
    </row>
    <row r="214" spans="1:16" customHeight="1" ht="58">
      <c r="A214" s="16"/>
      <c r="B214" s="18" t="s">
        <v>653</v>
      </c>
      <c r="C214" s="17" t="s">
        <v>566</v>
      </c>
      <c r="D214" s="17" t="s">
        <v>670</v>
      </c>
      <c r="E214" s="17" t="s">
        <v>655</v>
      </c>
      <c r="F214" s="19"/>
      <c r="G214" s="20">
        <v>1.0</v>
      </c>
      <c r="H214" s="21">
        <v>198.0</v>
      </c>
      <c r="I214" s="21">
        <v>123.0</v>
      </c>
      <c r="J214" s="22">
        <v>280.0</v>
      </c>
      <c r="K214" s="50"/>
      <c r="L214" s="21" t="str">
        <f>IF(K214&gt;0,K214*I214,"")</f>
      </c>
      <c r="M214" s="52"/>
      <c r="N214" t="str">
        <f>IF(K214&gt;0,COUNTIF($K$7:K214,"&gt;0"),"")</f>
      </c>
      <c r="O214" t="s">
        <v>671</v>
      </c>
      <c r="P214" t="s">
        <v>669</v>
      </c>
    </row>
    <row r="215" spans="1:16" customHeight="1" ht="58">
      <c r="A215" s="16"/>
      <c r="B215" s="18" t="s">
        <v>673</v>
      </c>
      <c r="C215" s="17" t="s">
        <v>566</v>
      </c>
      <c r="D215" s="17" t="s">
        <v>254</v>
      </c>
      <c r="E215" s="17" t="s">
        <v>674</v>
      </c>
      <c r="F215" s="19"/>
      <c r="G215" s="20">
        <v>1.0</v>
      </c>
      <c r="H215" s="21">
        <v>198.0</v>
      </c>
      <c r="I215" s="21">
        <v>125.0</v>
      </c>
      <c r="J215" s="22">
        <v>5.0</v>
      </c>
      <c r="K215" s="50"/>
      <c r="L215" s="21" t="str">
        <f>IF(K215&gt;0,K215*I215,"")</f>
      </c>
      <c r="M215" s="52"/>
      <c r="N215" t="str">
        <f>IF(K215&gt;0,COUNTIF($K$7:K215,"&gt;0"),"")</f>
      </c>
      <c r="O215" t="s">
        <v>675</v>
      </c>
      <c r="P215" t="s">
        <v>672</v>
      </c>
    </row>
    <row r="216" spans="1:16" customHeight="1" ht="58">
      <c r="A216" s="16"/>
      <c r="B216" s="18" t="s">
        <v>673</v>
      </c>
      <c r="C216" s="17" t="s">
        <v>566</v>
      </c>
      <c r="D216" s="17" t="s">
        <v>641</v>
      </c>
      <c r="E216" s="17" t="s">
        <v>674</v>
      </c>
      <c r="F216" s="19"/>
      <c r="G216" s="20">
        <v>1.0</v>
      </c>
      <c r="H216" s="21">
        <v>198.0</v>
      </c>
      <c r="I216" s="21">
        <v>125.0</v>
      </c>
      <c r="J216" s="22">
        <v>89.0</v>
      </c>
      <c r="K216" s="50"/>
      <c r="L216" s="21" t="str">
        <f>IF(K216&gt;0,K216*I216,"")</f>
      </c>
      <c r="M216" s="52"/>
      <c r="N216" t="str">
        <f>IF(K216&gt;0,COUNTIF($K$7:K216,"&gt;0"),"")</f>
      </c>
      <c r="O216" t="s">
        <v>677</v>
      </c>
      <c r="P216" t="s">
        <v>676</v>
      </c>
    </row>
    <row r="217" spans="1:16" customHeight="1" ht="58">
      <c r="A217" s="16"/>
      <c r="B217" s="18" t="s">
        <v>673</v>
      </c>
      <c r="C217" s="17" t="s">
        <v>566</v>
      </c>
      <c r="D217" s="17" t="s">
        <v>273</v>
      </c>
      <c r="E217" s="17" t="s">
        <v>674</v>
      </c>
      <c r="F217" s="19"/>
      <c r="G217" s="20">
        <v>1.0</v>
      </c>
      <c r="H217" s="21">
        <v>198.0</v>
      </c>
      <c r="I217" s="21">
        <v>125.0</v>
      </c>
      <c r="J217" s="22">
        <v>88.0</v>
      </c>
      <c r="K217" s="50"/>
      <c r="L217" s="21" t="str">
        <f>IF(K217&gt;0,K217*I217,"")</f>
      </c>
      <c r="M217" s="52"/>
      <c r="N217" t="str">
        <f>IF(K217&gt;0,COUNTIF($K$7:K217,"&gt;0"),"")</f>
      </c>
      <c r="O217" t="s">
        <v>679</v>
      </c>
      <c r="P217" t="s">
        <v>678</v>
      </c>
    </row>
    <row r="218" spans="1:16" customHeight="1" ht="58">
      <c r="A218" s="16"/>
      <c r="B218" s="18" t="s">
        <v>673</v>
      </c>
      <c r="C218" s="17" t="s">
        <v>566</v>
      </c>
      <c r="D218" s="17" t="s">
        <v>270</v>
      </c>
      <c r="E218" s="17" t="s">
        <v>674</v>
      </c>
      <c r="F218" s="19"/>
      <c r="G218" s="20">
        <v>1.0</v>
      </c>
      <c r="H218" s="21">
        <v>198.0</v>
      </c>
      <c r="I218" s="21">
        <v>125.0</v>
      </c>
      <c r="J218" s="22">
        <v>114.0</v>
      </c>
      <c r="K218" s="50"/>
      <c r="L218" s="21" t="str">
        <f>IF(K218&gt;0,K218*I218,"")</f>
      </c>
      <c r="M218" s="52"/>
      <c r="N218" t="str">
        <f>IF(K218&gt;0,COUNTIF($K$7:K218,"&gt;0"),"")</f>
      </c>
      <c r="O218" t="s">
        <v>681</v>
      </c>
      <c r="P218" t="s">
        <v>680</v>
      </c>
    </row>
    <row r="219" spans="1:16" customHeight="1" ht="58">
      <c r="A219" s="16"/>
      <c r="B219" s="18" t="s">
        <v>673</v>
      </c>
      <c r="C219" s="17" t="s">
        <v>566</v>
      </c>
      <c r="D219" s="17" t="s">
        <v>267</v>
      </c>
      <c r="E219" s="17" t="s">
        <v>674</v>
      </c>
      <c r="F219" s="19"/>
      <c r="G219" s="20">
        <v>1.0</v>
      </c>
      <c r="H219" s="21">
        <v>198.0</v>
      </c>
      <c r="I219" s="21">
        <v>125.0</v>
      </c>
      <c r="J219" s="22">
        <v>106.0</v>
      </c>
      <c r="K219" s="50"/>
      <c r="L219" s="21" t="str">
        <f>IF(K219&gt;0,K219*I219,"")</f>
      </c>
      <c r="M219" s="52"/>
      <c r="N219" t="str">
        <f>IF(K219&gt;0,COUNTIF($K$7:K219,"&gt;0"),"")</f>
      </c>
      <c r="O219" t="s">
        <v>683</v>
      </c>
      <c r="P219" t="s">
        <v>682</v>
      </c>
    </row>
    <row r="220" spans="1:16" customHeight="1" ht="58">
      <c r="A220" s="16"/>
      <c r="B220" s="18" t="s">
        <v>673</v>
      </c>
      <c r="C220" s="17" t="s">
        <v>566</v>
      </c>
      <c r="D220" s="17" t="s">
        <v>331</v>
      </c>
      <c r="E220" s="17" t="s">
        <v>674</v>
      </c>
      <c r="F220" s="19"/>
      <c r="G220" s="20">
        <v>1.0</v>
      </c>
      <c r="H220" s="21">
        <v>198.0</v>
      </c>
      <c r="I220" s="21">
        <v>125.0</v>
      </c>
      <c r="J220" s="22">
        <v>14.0</v>
      </c>
      <c r="K220" s="50"/>
      <c r="L220" s="21" t="str">
        <f>IF(K220&gt;0,K220*I220,"")</f>
      </c>
      <c r="M220" s="52"/>
      <c r="N220" t="str">
        <f>IF(K220&gt;0,COUNTIF($K$7:K220,"&gt;0"),"")</f>
      </c>
      <c r="O220" t="s">
        <v>685</v>
      </c>
      <c r="P220" t="s">
        <v>684</v>
      </c>
    </row>
    <row r="221" spans="1:16" customHeight="1" ht="58">
      <c r="A221" s="16"/>
      <c r="B221" s="18" t="s">
        <v>673</v>
      </c>
      <c r="C221" s="17" t="s">
        <v>566</v>
      </c>
      <c r="D221" s="17" t="s">
        <v>687</v>
      </c>
      <c r="E221" s="17" t="s">
        <v>674</v>
      </c>
      <c r="F221" s="19"/>
      <c r="G221" s="20">
        <v>1.0</v>
      </c>
      <c r="H221" s="21">
        <v>198.0</v>
      </c>
      <c r="I221" s="21">
        <v>125.0</v>
      </c>
      <c r="J221" s="22">
        <v>96.0</v>
      </c>
      <c r="K221" s="50"/>
      <c r="L221" s="21" t="str">
        <f>IF(K221&gt;0,K221*I221,"")</f>
      </c>
      <c r="M221" s="52"/>
      <c r="N221" t="str">
        <f>IF(K221&gt;0,COUNTIF($K$7:K221,"&gt;0"),"")</f>
      </c>
      <c r="O221" t="s">
        <v>688</v>
      </c>
      <c r="P221" t="s">
        <v>686</v>
      </c>
    </row>
    <row r="222" spans="1:16" customHeight="1" ht="58">
      <c r="A222" s="16"/>
      <c r="B222" s="18" t="s">
        <v>673</v>
      </c>
      <c r="C222" s="17" t="s">
        <v>566</v>
      </c>
      <c r="D222" s="17" t="s">
        <v>258</v>
      </c>
      <c r="E222" s="17" t="s">
        <v>674</v>
      </c>
      <c r="F222" s="19"/>
      <c r="G222" s="20">
        <v>1.0</v>
      </c>
      <c r="H222" s="21">
        <v>198.0</v>
      </c>
      <c r="I222" s="21">
        <v>125.0</v>
      </c>
      <c r="J222" s="22">
        <v>13.0</v>
      </c>
      <c r="K222" s="50"/>
      <c r="L222" s="21" t="str">
        <f>IF(K222&gt;0,K222*I222,"")</f>
      </c>
      <c r="M222" s="52"/>
      <c r="N222" t="str">
        <f>IF(K222&gt;0,COUNTIF($K$7:K222,"&gt;0"),"")</f>
      </c>
      <c r="O222" t="s">
        <v>690</v>
      </c>
      <c r="P222" t="s">
        <v>689</v>
      </c>
    </row>
    <row r="223" spans="1:16" customHeight="1" ht="58">
      <c r="A223" s="16"/>
      <c r="B223" s="18" t="s">
        <v>692</v>
      </c>
      <c r="C223" s="17" t="s">
        <v>566</v>
      </c>
      <c r="D223" s="17" t="s">
        <v>693</v>
      </c>
      <c r="E223" s="17" t="s">
        <v>694</v>
      </c>
      <c r="F223" s="19"/>
      <c r="G223" s="20">
        <v>1.0</v>
      </c>
      <c r="H223" s="21">
        <v>209.0</v>
      </c>
      <c r="I223" s="21">
        <v>135.0</v>
      </c>
      <c r="J223" s="22">
        <v>2.0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695</v>
      </c>
      <c r="P223" t="s">
        <v>691</v>
      </c>
    </row>
    <row r="224" spans="1:16" customHeight="1" ht="58">
      <c r="A224" s="16"/>
      <c r="B224" s="18" t="s">
        <v>692</v>
      </c>
      <c r="C224" s="17" t="s">
        <v>566</v>
      </c>
      <c r="D224" s="17" t="s">
        <v>254</v>
      </c>
      <c r="E224" s="17" t="s">
        <v>694</v>
      </c>
      <c r="F224" s="19"/>
      <c r="G224" s="20">
        <v>1.0</v>
      </c>
      <c r="H224" s="21">
        <v>209.0</v>
      </c>
      <c r="I224" s="21">
        <v>135.0</v>
      </c>
      <c r="J224" s="22">
        <v>60.0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697</v>
      </c>
      <c r="P224" t="s">
        <v>696</v>
      </c>
    </row>
    <row r="225" spans="1:16" customHeight="1" ht="58">
      <c r="A225" s="16"/>
      <c r="B225" s="18" t="s">
        <v>692</v>
      </c>
      <c r="C225" s="17" t="s">
        <v>566</v>
      </c>
      <c r="D225" s="17" t="s">
        <v>331</v>
      </c>
      <c r="E225" s="17" t="s">
        <v>694</v>
      </c>
      <c r="F225" s="19"/>
      <c r="G225" s="20">
        <v>1.0</v>
      </c>
      <c r="H225" s="21">
        <v>209.0</v>
      </c>
      <c r="I225" s="21">
        <v>135.0</v>
      </c>
      <c r="J225" s="22">
        <v>58.0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699</v>
      </c>
      <c r="P225" t="s">
        <v>698</v>
      </c>
    </row>
    <row r="226" spans="1:16" customHeight="1" ht="58">
      <c r="A226" s="16"/>
      <c r="B226" s="18" t="s">
        <v>692</v>
      </c>
      <c r="C226" s="17" t="s">
        <v>566</v>
      </c>
      <c r="D226" s="17" t="s">
        <v>258</v>
      </c>
      <c r="E226" s="17" t="s">
        <v>694</v>
      </c>
      <c r="F226" s="19"/>
      <c r="G226" s="20">
        <v>1.0</v>
      </c>
      <c r="H226" s="21">
        <v>209.0</v>
      </c>
      <c r="I226" s="21">
        <v>135.0</v>
      </c>
      <c r="J226" s="22">
        <v>67.0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701</v>
      </c>
      <c r="P226" t="s">
        <v>700</v>
      </c>
    </row>
    <row r="227" spans="1:16" customHeight="1" ht="58">
      <c r="A227" s="16"/>
      <c r="B227" s="18" t="s">
        <v>703</v>
      </c>
      <c r="C227" s="17" t="s">
        <v>566</v>
      </c>
      <c r="D227" s="17" t="s">
        <v>254</v>
      </c>
      <c r="E227" s="17" t="s">
        <v>704</v>
      </c>
      <c r="F227" s="19"/>
      <c r="G227" s="20">
        <v>1.0</v>
      </c>
      <c r="H227" s="21">
        <v>209.0</v>
      </c>
      <c r="I227" s="21">
        <v>134.0</v>
      </c>
      <c r="J227" s="22">
        <v>38.0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705</v>
      </c>
      <c r="P227" t="s">
        <v>702</v>
      </c>
    </row>
    <row r="228" spans="1:16" customHeight="1" ht="58">
      <c r="A228" s="16"/>
      <c r="B228" s="18" t="s">
        <v>703</v>
      </c>
      <c r="C228" s="17" t="s">
        <v>566</v>
      </c>
      <c r="D228" s="17" t="s">
        <v>264</v>
      </c>
      <c r="E228" s="17" t="s">
        <v>704</v>
      </c>
      <c r="F228" s="19"/>
      <c r="G228" s="20">
        <v>1.0</v>
      </c>
      <c r="H228" s="21">
        <v>209.0</v>
      </c>
      <c r="I228" s="21">
        <v>134.0</v>
      </c>
      <c r="J228" s="22">
        <v>42.0</v>
      </c>
      <c r="K228" s="50"/>
      <c r="L228" s="21" t="str">
        <f>IF(K228&gt;0,K228*I228,"")</f>
      </c>
      <c r="M228" s="52"/>
      <c r="N228" t="str">
        <f>IF(K228&gt;0,COUNTIF($K$7:K228,"&gt;0"),"")</f>
      </c>
      <c r="O228" t="s">
        <v>707</v>
      </c>
      <c r="P228" t="s">
        <v>706</v>
      </c>
    </row>
    <row r="229" spans="1:16" customHeight="1" ht="58">
      <c r="A229" s="16"/>
      <c r="B229" s="18" t="s">
        <v>703</v>
      </c>
      <c r="C229" s="17" t="s">
        <v>566</v>
      </c>
      <c r="D229" s="17" t="s">
        <v>267</v>
      </c>
      <c r="E229" s="17" t="s">
        <v>704</v>
      </c>
      <c r="F229" s="19"/>
      <c r="G229" s="20">
        <v>1.0</v>
      </c>
      <c r="H229" s="21">
        <v>209.0</v>
      </c>
      <c r="I229" s="21">
        <v>134.0</v>
      </c>
      <c r="J229" s="22">
        <v>188.0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709</v>
      </c>
      <c r="P229" t="s">
        <v>708</v>
      </c>
    </row>
    <row r="230" spans="1:16" customHeight="1" ht="58">
      <c r="A230" s="16"/>
      <c r="B230" s="18" t="s">
        <v>703</v>
      </c>
      <c r="C230" s="17" t="s">
        <v>566</v>
      </c>
      <c r="D230" s="17" t="s">
        <v>270</v>
      </c>
      <c r="E230" s="17" t="s">
        <v>704</v>
      </c>
      <c r="F230" s="19"/>
      <c r="G230" s="20">
        <v>1.0</v>
      </c>
      <c r="H230" s="21">
        <v>209.0</v>
      </c>
      <c r="I230" s="21">
        <v>134.0</v>
      </c>
      <c r="J230" s="22">
        <v>125.0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711</v>
      </c>
      <c r="P230" t="s">
        <v>710</v>
      </c>
    </row>
    <row r="231" spans="1:16" customHeight="1" ht="58">
      <c r="A231" s="16"/>
      <c r="B231" s="18" t="s">
        <v>713</v>
      </c>
      <c r="C231" s="17" t="s">
        <v>566</v>
      </c>
      <c r="D231" s="17" t="s">
        <v>714</v>
      </c>
      <c r="E231" s="17" t="s">
        <v>715</v>
      </c>
      <c r="F231" s="19"/>
      <c r="G231" s="20">
        <v>1.0</v>
      </c>
      <c r="H231" s="21">
        <v>220.0</v>
      </c>
      <c r="I231" s="21">
        <v>137.0</v>
      </c>
      <c r="J231" s="22">
        <v>136.0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716</v>
      </c>
      <c r="P231" t="s">
        <v>712</v>
      </c>
    </row>
    <row r="232" spans="1:16" customHeight="1" ht="58">
      <c r="A232" s="16"/>
      <c r="B232" s="18" t="s">
        <v>713</v>
      </c>
      <c r="C232" s="17" t="s">
        <v>566</v>
      </c>
      <c r="D232" s="17" t="s">
        <v>718</v>
      </c>
      <c r="E232" s="17" t="s">
        <v>715</v>
      </c>
      <c r="F232" s="19"/>
      <c r="G232" s="20">
        <v>1.0</v>
      </c>
      <c r="H232" s="21">
        <v>220.0</v>
      </c>
      <c r="I232" s="21">
        <v>137.0</v>
      </c>
      <c r="J232" s="22">
        <v>75.0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719</v>
      </c>
      <c r="P232" t="s">
        <v>717</v>
      </c>
    </row>
    <row r="233" spans="1:16" customHeight="1" ht="58">
      <c r="A233" s="16"/>
      <c r="B233" s="18" t="s">
        <v>713</v>
      </c>
      <c r="C233" s="17" t="s">
        <v>566</v>
      </c>
      <c r="D233" s="17" t="s">
        <v>721</v>
      </c>
      <c r="E233" s="17" t="s">
        <v>715</v>
      </c>
      <c r="F233" s="19"/>
      <c r="G233" s="20">
        <v>1.0</v>
      </c>
      <c r="H233" s="21">
        <v>220.0</v>
      </c>
      <c r="I233" s="21">
        <v>137.0</v>
      </c>
      <c r="J233" s="22">
        <v>21.0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722</v>
      </c>
      <c r="P233" t="s">
        <v>720</v>
      </c>
    </row>
    <row r="234" spans="1:16" customHeight="1" ht="58">
      <c r="A234" s="16"/>
      <c r="B234" s="18" t="s">
        <v>713</v>
      </c>
      <c r="C234" s="17" t="s">
        <v>566</v>
      </c>
      <c r="D234" s="17" t="s">
        <v>182</v>
      </c>
      <c r="E234" s="17" t="s">
        <v>715</v>
      </c>
      <c r="F234" s="19"/>
      <c r="G234" s="20">
        <v>1.0</v>
      </c>
      <c r="H234" s="21">
        <v>220.0</v>
      </c>
      <c r="I234" s="21">
        <v>137.0</v>
      </c>
      <c r="J234" s="22">
        <v>49.0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724</v>
      </c>
      <c r="P234" t="s">
        <v>723</v>
      </c>
    </row>
    <row r="235" spans="1:16" customHeight="1" ht="58">
      <c r="A235" s="16"/>
      <c r="B235" s="18" t="s">
        <v>713</v>
      </c>
      <c r="C235" s="17" t="s">
        <v>566</v>
      </c>
      <c r="D235" s="17" t="s">
        <v>726</v>
      </c>
      <c r="E235" s="17" t="s">
        <v>715</v>
      </c>
      <c r="F235" s="19"/>
      <c r="G235" s="20">
        <v>1.0</v>
      </c>
      <c r="H235" s="21">
        <v>220.0</v>
      </c>
      <c r="I235" s="21">
        <v>137.0</v>
      </c>
      <c r="J235" s="22">
        <v>49.0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727</v>
      </c>
      <c r="P235" t="s">
        <v>725</v>
      </c>
    </row>
    <row r="236" spans="1:16" customHeight="1" ht="58">
      <c r="A236" s="16"/>
      <c r="B236" s="18" t="s">
        <v>713</v>
      </c>
      <c r="C236" s="17" t="s">
        <v>566</v>
      </c>
      <c r="D236" s="17" t="s">
        <v>178</v>
      </c>
      <c r="E236" s="17" t="s">
        <v>715</v>
      </c>
      <c r="F236" s="19"/>
      <c r="G236" s="20">
        <v>1.0</v>
      </c>
      <c r="H236" s="21">
        <v>220.0</v>
      </c>
      <c r="I236" s="21">
        <v>137.0</v>
      </c>
      <c r="J236" s="22">
        <v>51.0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729</v>
      </c>
      <c r="P236" t="s">
        <v>728</v>
      </c>
    </row>
    <row r="237" spans="1:16" customHeight="1" ht="58">
      <c r="A237" s="16"/>
      <c r="B237" s="18" t="s">
        <v>731</v>
      </c>
      <c r="C237" s="17" t="s">
        <v>566</v>
      </c>
      <c r="D237" s="17" t="s">
        <v>732</v>
      </c>
      <c r="E237" s="17" t="s">
        <v>733</v>
      </c>
      <c r="F237" s="19"/>
      <c r="G237" s="20">
        <v>1.0</v>
      </c>
      <c r="H237" s="21">
        <v>198.0</v>
      </c>
      <c r="I237" s="21">
        <v>122.0</v>
      </c>
      <c r="J237" s="22">
        <v>71.0</v>
      </c>
      <c r="K237" s="50"/>
      <c r="L237" s="21" t="str">
        <f>IF(K237&gt;0,K237*I237,"")</f>
      </c>
      <c r="M237" s="52"/>
      <c r="N237" t="str">
        <f>IF(K237&gt;0,COUNTIF($K$7:K237,"&gt;0"),"")</f>
      </c>
      <c r="O237" t="s">
        <v>734</v>
      </c>
      <c r="P237" t="s">
        <v>730</v>
      </c>
    </row>
    <row r="238" spans="1:16" customHeight="1" ht="58">
      <c r="A238" s="16"/>
      <c r="B238" s="18" t="s">
        <v>731</v>
      </c>
      <c r="C238" s="17" t="s">
        <v>566</v>
      </c>
      <c r="D238" s="17" t="s">
        <v>736</v>
      </c>
      <c r="E238" s="17" t="s">
        <v>733</v>
      </c>
      <c r="F238" s="19"/>
      <c r="G238" s="20">
        <v>1.0</v>
      </c>
      <c r="H238" s="21">
        <v>198.0</v>
      </c>
      <c r="I238" s="21">
        <v>122.0</v>
      </c>
      <c r="J238" s="22">
        <v>11.0</v>
      </c>
      <c r="K238" s="50"/>
      <c r="L238" s="21" t="str">
        <f>IF(K238&gt;0,K238*I238,"")</f>
      </c>
      <c r="M238" s="52"/>
      <c r="N238" t="str">
        <f>IF(K238&gt;0,COUNTIF($K$7:K238,"&gt;0"),"")</f>
      </c>
      <c r="O238" t="s">
        <v>737</v>
      </c>
      <c r="P238" t="s">
        <v>735</v>
      </c>
    </row>
    <row r="239" spans="1:16" customHeight="1" ht="58">
      <c r="A239" s="16"/>
      <c r="B239" s="18" t="s">
        <v>731</v>
      </c>
      <c r="C239" s="17" t="s">
        <v>566</v>
      </c>
      <c r="D239" s="17" t="s">
        <v>739</v>
      </c>
      <c r="E239" s="17" t="s">
        <v>733</v>
      </c>
      <c r="F239" s="19"/>
      <c r="G239" s="20">
        <v>1.0</v>
      </c>
      <c r="H239" s="21">
        <v>198.0</v>
      </c>
      <c r="I239" s="21">
        <v>122.0</v>
      </c>
      <c r="J239" s="22">
        <v>70.0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740</v>
      </c>
      <c r="P239" t="s">
        <v>738</v>
      </c>
    </row>
    <row r="240" spans="1:16" customHeight="1" ht="58">
      <c r="A240" s="16"/>
      <c r="B240" s="18" t="s">
        <v>731</v>
      </c>
      <c r="C240" s="17" t="s">
        <v>566</v>
      </c>
      <c r="D240" s="17" t="s">
        <v>742</v>
      </c>
      <c r="E240" s="17" t="s">
        <v>733</v>
      </c>
      <c r="F240" s="19"/>
      <c r="G240" s="20">
        <v>1.0</v>
      </c>
      <c r="H240" s="21">
        <v>198.0</v>
      </c>
      <c r="I240" s="21">
        <v>122.0</v>
      </c>
      <c r="J240" s="22">
        <v>84.0</v>
      </c>
      <c r="K240" s="50"/>
      <c r="L240" s="21" t="str">
        <f>IF(K240&gt;0,K240*I240,"")</f>
      </c>
      <c r="M240" s="52"/>
      <c r="N240" t="str">
        <f>IF(K240&gt;0,COUNTIF($K$7:K240,"&gt;0"),"")</f>
      </c>
      <c r="O240" t="s">
        <v>743</v>
      </c>
      <c r="P240" t="s">
        <v>741</v>
      </c>
    </row>
    <row r="241" spans="1:16" customHeight="1" ht="58">
      <c r="A241" s="16"/>
      <c r="B241" s="18" t="s">
        <v>731</v>
      </c>
      <c r="C241" s="17" t="s">
        <v>566</v>
      </c>
      <c r="D241" s="17" t="s">
        <v>745</v>
      </c>
      <c r="E241" s="17" t="s">
        <v>733</v>
      </c>
      <c r="F241" s="19"/>
      <c r="G241" s="20">
        <v>1.0</v>
      </c>
      <c r="H241" s="21">
        <v>198.0</v>
      </c>
      <c r="I241" s="21">
        <v>122.0</v>
      </c>
      <c r="J241" s="22">
        <v>102.0</v>
      </c>
      <c r="K241" s="50"/>
      <c r="L241" s="21" t="str">
        <f>IF(K241&gt;0,K241*I241,"")</f>
      </c>
      <c r="M241" s="52"/>
      <c r="N241" t="str">
        <f>IF(K241&gt;0,COUNTIF($K$7:K241,"&gt;0"),"")</f>
      </c>
      <c r="O241" t="s">
        <v>746</v>
      </c>
      <c r="P241" t="s">
        <v>744</v>
      </c>
    </row>
    <row r="242" spans="1:16" customHeight="1" ht="58">
      <c r="A242" s="16"/>
      <c r="B242" s="18" t="s">
        <v>748</v>
      </c>
      <c r="C242" s="17" t="s">
        <v>566</v>
      </c>
      <c r="D242" s="17" t="s">
        <v>749</v>
      </c>
      <c r="E242" s="17" t="s">
        <v>750</v>
      </c>
      <c r="F242" s="19"/>
      <c r="G242" s="20">
        <v>1.0</v>
      </c>
      <c r="H242" s="21">
        <v>385.0</v>
      </c>
      <c r="I242" s="21">
        <v>255.0</v>
      </c>
      <c r="J242" s="22">
        <v>1.0</v>
      </c>
      <c r="K242" s="50"/>
      <c r="L242" s="21" t="str">
        <f>IF(K242&gt;0,K242*I242,"")</f>
      </c>
      <c r="M242" s="52"/>
      <c r="N242" t="str">
        <f>IF(K242&gt;0,COUNTIF($K$7:K242,"&gt;0"),"")</f>
      </c>
      <c r="P242" t="s">
        <v>747</v>
      </c>
    </row>
    <row r="243" spans="1:16" customHeight="1" ht="58">
      <c r="A243" s="16"/>
      <c r="B243" s="18" t="s">
        <v>752</v>
      </c>
      <c r="C243" s="17" t="s">
        <v>566</v>
      </c>
      <c r="D243" s="17" t="s">
        <v>136</v>
      </c>
      <c r="E243" s="17" t="s">
        <v>753</v>
      </c>
      <c r="F243" s="19"/>
      <c r="G243" s="20">
        <v>1.0</v>
      </c>
      <c r="H243" s="21">
        <v>231.0</v>
      </c>
      <c r="I243" s="21">
        <v>149.0</v>
      </c>
      <c r="J243" s="22">
        <v>116.0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754</v>
      </c>
      <c r="P243" t="s">
        <v>751</v>
      </c>
    </row>
    <row r="244" spans="1:16" customHeight="1" ht="58">
      <c r="A244" s="16"/>
      <c r="B244" s="18" t="s">
        <v>752</v>
      </c>
      <c r="C244" s="17" t="s">
        <v>566</v>
      </c>
      <c r="D244" s="17" t="s">
        <v>756</v>
      </c>
      <c r="E244" s="17" t="s">
        <v>753</v>
      </c>
      <c r="F244" s="19"/>
      <c r="G244" s="20">
        <v>1.0</v>
      </c>
      <c r="H244" s="21">
        <v>231.0</v>
      </c>
      <c r="I244" s="21">
        <v>149.0</v>
      </c>
      <c r="J244" s="22">
        <v>87.0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757</v>
      </c>
      <c r="P244" t="s">
        <v>755</v>
      </c>
    </row>
    <row r="245" spans="1:16" customHeight="1" ht="58">
      <c r="A245" s="16"/>
      <c r="B245" s="18" t="s">
        <v>752</v>
      </c>
      <c r="C245" s="17" t="s">
        <v>566</v>
      </c>
      <c r="D245" s="17" t="s">
        <v>665</v>
      </c>
      <c r="E245" s="17" t="s">
        <v>753</v>
      </c>
      <c r="F245" s="19"/>
      <c r="G245" s="20">
        <v>1.0</v>
      </c>
      <c r="H245" s="21">
        <v>231.0</v>
      </c>
      <c r="I245" s="21">
        <v>149.0</v>
      </c>
      <c r="J245" s="22">
        <v>351.0</v>
      </c>
      <c r="K245" s="50"/>
      <c r="L245" s="21" t="str">
        <f>IF(K245&gt;0,K245*I245,"")</f>
      </c>
      <c r="M245" s="52"/>
      <c r="N245" t="str">
        <f>IF(K245&gt;0,COUNTIF($K$7:K245,"&gt;0"),"")</f>
      </c>
      <c r="O245" t="s">
        <v>759</v>
      </c>
      <c r="P245" t="s">
        <v>758</v>
      </c>
    </row>
    <row r="246" spans="1:16" customHeight="1" ht="58">
      <c r="A246" s="16"/>
      <c r="B246" s="18" t="s">
        <v>752</v>
      </c>
      <c r="C246" s="17" t="s">
        <v>566</v>
      </c>
      <c r="D246" s="17" t="s">
        <v>761</v>
      </c>
      <c r="E246" s="17" t="s">
        <v>753</v>
      </c>
      <c r="F246" s="19"/>
      <c r="G246" s="20">
        <v>1.0</v>
      </c>
      <c r="H246" s="21">
        <v>231.0</v>
      </c>
      <c r="I246" s="21">
        <v>149.0</v>
      </c>
      <c r="J246" s="22">
        <v>339.0</v>
      </c>
      <c r="K246" s="50"/>
      <c r="L246" s="21" t="str">
        <f>IF(K246&gt;0,K246*I246,"")</f>
      </c>
      <c r="M246" s="52"/>
      <c r="N246" t="str">
        <f>IF(K246&gt;0,COUNTIF($K$7:K246,"&gt;0"),"")</f>
      </c>
      <c r="O246" t="s">
        <v>762</v>
      </c>
      <c r="P246" t="s">
        <v>760</v>
      </c>
    </row>
    <row r="247" spans="1:16" customHeight="1" ht="58">
      <c r="A247" s="16"/>
      <c r="B247" s="18" t="s">
        <v>752</v>
      </c>
      <c r="C247" s="17" t="s">
        <v>566</v>
      </c>
      <c r="D247" s="17" t="s">
        <v>764</v>
      </c>
      <c r="E247" s="17" t="s">
        <v>753</v>
      </c>
      <c r="F247" s="19"/>
      <c r="G247" s="20">
        <v>1.0</v>
      </c>
      <c r="H247" s="21">
        <v>231.0</v>
      </c>
      <c r="I247" s="21">
        <v>149.0</v>
      </c>
      <c r="J247" s="22">
        <v>705.0</v>
      </c>
      <c r="K247" s="50"/>
      <c r="L247" s="21" t="str">
        <f>IF(K247&gt;0,K247*I247,"")</f>
      </c>
      <c r="M247" s="52"/>
      <c r="N247" t="str">
        <f>IF(K247&gt;0,COUNTIF($K$7:K247,"&gt;0"),"")</f>
      </c>
      <c r="O247" t="s">
        <v>765</v>
      </c>
      <c r="P247" t="s">
        <v>763</v>
      </c>
    </row>
    <row r="248" spans="1:16" customHeight="1" ht="58">
      <c r="A248" s="16"/>
      <c r="B248" s="18" t="s">
        <v>767</v>
      </c>
      <c r="C248" s="17" t="s">
        <v>566</v>
      </c>
      <c r="D248" s="17" t="s">
        <v>768</v>
      </c>
      <c r="E248" s="17" t="s">
        <v>769</v>
      </c>
      <c r="F248" s="19"/>
      <c r="G248" s="20">
        <v>1.0</v>
      </c>
      <c r="H248" s="21">
        <v>220.0</v>
      </c>
      <c r="I248" s="21">
        <v>142.0</v>
      </c>
      <c r="J248" s="22">
        <v>10.0</v>
      </c>
      <c r="K248" s="50"/>
      <c r="L248" s="21" t="str">
        <f>IF(K248&gt;0,K248*I248,"")</f>
      </c>
      <c r="M248" s="52"/>
      <c r="N248" t="str">
        <f>IF(K248&gt;0,COUNTIF($K$7:K248,"&gt;0"),"")</f>
      </c>
      <c r="O248" t="s">
        <v>770</v>
      </c>
      <c r="P248" t="s">
        <v>766</v>
      </c>
    </row>
    <row r="249" spans="1:16" customHeight="1" ht="58">
      <c r="A249" s="16"/>
      <c r="B249" s="18" t="s">
        <v>767</v>
      </c>
      <c r="C249" s="17" t="s">
        <v>566</v>
      </c>
      <c r="D249" s="17" t="s">
        <v>772</v>
      </c>
      <c r="E249" s="17" t="s">
        <v>769</v>
      </c>
      <c r="F249" s="19"/>
      <c r="G249" s="20">
        <v>1.0</v>
      </c>
      <c r="H249" s="21">
        <v>220.0</v>
      </c>
      <c r="I249" s="21">
        <v>142.0</v>
      </c>
      <c r="J249" s="22">
        <v>29.0</v>
      </c>
      <c r="K249" s="50"/>
      <c r="L249" s="21" t="str">
        <f>IF(K249&gt;0,K249*I249,"")</f>
      </c>
      <c r="M249" s="52"/>
      <c r="N249" t="str">
        <f>IF(K249&gt;0,COUNTIF($K$7:K249,"&gt;0"),"")</f>
      </c>
      <c r="O249" t="s">
        <v>773</v>
      </c>
      <c r="P249" t="s">
        <v>771</v>
      </c>
    </row>
    <row r="250" spans="1:16" customHeight="1" ht="58">
      <c r="A250" s="16"/>
      <c r="B250" s="18" t="s">
        <v>767</v>
      </c>
      <c r="C250" s="17" t="s">
        <v>566</v>
      </c>
      <c r="D250" s="17" t="s">
        <v>775</v>
      </c>
      <c r="E250" s="17" t="s">
        <v>769</v>
      </c>
      <c r="F250" s="19"/>
      <c r="G250" s="20">
        <v>1.0</v>
      </c>
      <c r="H250" s="21">
        <v>220.0</v>
      </c>
      <c r="I250" s="21">
        <v>142.0</v>
      </c>
      <c r="J250" s="22">
        <v>18.0</v>
      </c>
      <c r="K250" s="50"/>
      <c r="L250" s="21" t="str">
        <f>IF(K250&gt;0,K250*I250,"")</f>
      </c>
      <c r="M250" s="52"/>
      <c r="N250" t="str">
        <f>IF(K250&gt;0,COUNTIF($K$7:K250,"&gt;0"),"")</f>
      </c>
      <c r="O250" t="s">
        <v>776</v>
      </c>
      <c r="P250" t="s">
        <v>774</v>
      </c>
    </row>
    <row r="251" spans="1:16" customHeight="1" ht="58">
      <c r="A251" s="16"/>
      <c r="B251" s="18" t="s">
        <v>767</v>
      </c>
      <c r="C251" s="17" t="s">
        <v>566</v>
      </c>
      <c r="D251" s="17" t="s">
        <v>303</v>
      </c>
      <c r="E251" s="17" t="s">
        <v>769</v>
      </c>
      <c r="F251" s="19"/>
      <c r="G251" s="20">
        <v>1.0</v>
      </c>
      <c r="H251" s="21">
        <v>220.0</v>
      </c>
      <c r="I251" s="21">
        <v>142.0</v>
      </c>
      <c r="J251" s="22">
        <v>5.0</v>
      </c>
      <c r="K251" s="50"/>
      <c r="L251" s="21" t="str">
        <f>IF(K251&gt;0,K251*I251,"")</f>
      </c>
      <c r="M251" s="52"/>
      <c r="N251" t="str">
        <f>IF(K251&gt;0,COUNTIF($K$7:K251,"&gt;0"),"")</f>
      </c>
      <c r="O251" t="s">
        <v>778</v>
      </c>
      <c r="P251" t="s">
        <v>777</v>
      </c>
    </row>
    <row r="252" spans="1:16" customHeight="1" ht="58">
      <c r="A252" s="16"/>
      <c r="B252" s="18" t="s">
        <v>767</v>
      </c>
      <c r="C252" s="17" t="s">
        <v>566</v>
      </c>
      <c r="D252" s="17" t="s">
        <v>780</v>
      </c>
      <c r="E252" s="17" t="s">
        <v>769</v>
      </c>
      <c r="F252" s="19"/>
      <c r="G252" s="20">
        <v>1.0</v>
      </c>
      <c r="H252" s="21">
        <v>220.0</v>
      </c>
      <c r="I252" s="21">
        <v>142.0</v>
      </c>
      <c r="J252" s="22">
        <v>9.0</v>
      </c>
      <c r="K252" s="50"/>
      <c r="L252" s="21" t="str">
        <f>IF(K252&gt;0,K252*I252,"")</f>
      </c>
      <c r="M252" s="52"/>
      <c r="N252" t="str">
        <f>IF(K252&gt;0,COUNTIF($K$7:K252,"&gt;0"),"")</f>
      </c>
      <c r="O252" t="s">
        <v>781</v>
      </c>
      <c r="P252" t="s">
        <v>779</v>
      </c>
    </row>
    <row r="253" spans="1:16" customHeight="1" ht="58">
      <c r="A253" s="16"/>
      <c r="B253" s="18" t="s">
        <v>767</v>
      </c>
      <c r="C253" s="17" t="s">
        <v>566</v>
      </c>
      <c r="D253" s="17" t="s">
        <v>299</v>
      </c>
      <c r="E253" s="17" t="s">
        <v>769</v>
      </c>
      <c r="F253" s="19"/>
      <c r="G253" s="20">
        <v>1.0</v>
      </c>
      <c r="H253" s="21">
        <v>220.0</v>
      </c>
      <c r="I253" s="21">
        <v>142.0</v>
      </c>
      <c r="J253" s="22">
        <v>38.0</v>
      </c>
      <c r="K253" s="50"/>
      <c r="L253" s="21" t="str">
        <f>IF(K253&gt;0,K253*I253,"")</f>
      </c>
      <c r="M253" s="52"/>
      <c r="N253" t="str">
        <f>IF(K253&gt;0,COUNTIF($K$7:K253,"&gt;0"),"")</f>
      </c>
      <c r="O253" t="s">
        <v>783</v>
      </c>
      <c r="P253" t="s">
        <v>782</v>
      </c>
    </row>
    <row r="254" spans="1:16" customHeight="1" ht="58">
      <c r="A254" s="16"/>
      <c r="B254" s="18" t="s">
        <v>767</v>
      </c>
      <c r="C254" s="17" t="s">
        <v>566</v>
      </c>
      <c r="D254" s="17" t="s">
        <v>785</v>
      </c>
      <c r="E254" s="17" t="s">
        <v>769</v>
      </c>
      <c r="F254" s="19"/>
      <c r="G254" s="20">
        <v>1.0</v>
      </c>
      <c r="H254" s="21">
        <v>220.0</v>
      </c>
      <c r="I254" s="21">
        <v>142.0</v>
      </c>
      <c r="J254" s="22">
        <v>28.0</v>
      </c>
      <c r="K254" s="50"/>
      <c r="L254" s="21" t="str">
        <f>IF(K254&gt;0,K254*I254,"")</f>
      </c>
      <c r="M254" s="52"/>
      <c r="N254" t="str">
        <f>IF(K254&gt;0,COUNTIF($K$7:K254,"&gt;0"),"")</f>
      </c>
      <c r="O254" t="s">
        <v>786</v>
      </c>
      <c r="P254" t="s">
        <v>784</v>
      </c>
    </row>
    <row r="255" spans="1:16" customHeight="1" ht="58">
      <c r="A255" s="16"/>
      <c r="B255" s="18" t="s">
        <v>767</v>
      </c>
      <c r="C255" s="17" t="s">
        <v>566</v>
      </c>
      <c r="D255" s="17" t="s">
        <v>788</v>
      </c>
      <c r="E255" s="17" t="s">
        <v>769</v>
      </c>
      <c r="F255" s="19"/>
      <c r="G255" s="20">
        <v>1.0</v>
      </c>
      <c r="H255" s="21">
        <v>220.0</v>
      </c>
      <c r="I255" s="21">
        <v>142.0</v>
      </c>
      <c r="J255" s="22">
        <v>79.0</v>
      </c>
      <c r="K255" s="50"/>
      <c r="L255" s="21" t="str">
        <f>IF(K255&gt;0,K255*I255,"")</f>
      </c>
      <c r="M255" s="52"/>
      <c r="N255" t="str">
        <f>IF(K255&gt;0,COUNTIF($K$7:K255,"&gt;0"),"")</f>
      </c>
      <c r="O255" t="s">
        <v>789</v>
      </c>
      <c r="P255" t="s">
        <v>787</v>
      </c>
    </row>
    <row r="256" spans="1:16" customHeight="1" ht="58">
      <c r="A256" s="16"/>
      <c r="B256" s="18" t="s">
        <v>767</v>
      </c>
      <c r="C256" s="17" t="s">
        <v>566</v>
      </c>
      <c r="D256" s="17" t="s">
        <v>791</v>
      </c>
      <c r="E256" s="17" t="s">
        <v>769</v>
      </c>
      <c r="F256" s="19"/>
      <c r="G256" s="20">
        <v>1.0</v>
      </c>
      <c r="H256" s="21">
        <v>220.0</v>
      </c>
      <c r="I256" s="21">
        <v>142.0</v>
      </c>
      <c r="J256" s="22">
        <v>42.0</v>
      </c>
      <c r="K256" s="50"/>
      <c r="L256" s="21" t="str">
        <f>IF(K256&gt;0,K256*I256,"")</f>
      </c>
      <c r="M256" s="52"/>
      <c r="N256" t="str">
        <f>IF(K256&gt;0,COUNTIF($K$7:K256,"&gt;0"),"")</f>
      </c>
      <c r="O256" t="s">
        <v>792</v>
      </c>
      <c r="P256" t="s">
        <v>790</v>
      </c>
    </row>
    <row r="257" spans="1:16" customHeight="1" ht="58">
      <c r="A257" s="16"/>
      <c r="B257" s="18" t="s">
        <v>794</v>
      </c>
      <c r="C257" s="17" t="s">
        <v>566</v>
      </c>
      <c r="D257" s="17" t="s">
        <v>264</v>
      </c>
      <c r="E257" s="17" t="s">
        <v>795</v>
      </c>
      <c r="F257" s="19"/>
      <c r="G257" s="20">
        <v>1.0</v>
      </c>
      <c r="H257" s="21">
        <v>198.0</v>
      </c>
      <c r="I257" s="21">
        <v>124.0</v>
      </c>
      <c r="J257" s="22">
        <v>34.0</v>
      </c>
      <c r="K257" s="50"/>
      <c r="L257" s="21" t="str">
        <f>IF(K257&gt;0,K257*I257,"")</f>
      </c>
      <c r="M257" s="52"/>
      <c r="N257" t="str">
        <f>IF(K257&gt;0,COUNTIF($K$7:K257,"&gt;0"),"")</f>
      </c>
      <c r="O257" t="s">
        <v>796</v>
      </c>
      <c r="P257" t="s">
        <v>793</v>
      </c>
    </row>
    <row r="258" spans="1:16" customHeight="1" ht="58">
      <c r="A258" s="16"/>
      <c r="B258" s="18" t="s">
        <v>798</v>
      </c>
      <c r="C258" s="17" t="s">
        <v>566</v>
      </c>
      <c r="D258" s="17" t="s">
        <v>331</v>
      </c>
      <c r="E258" s="17" t="s">
        <v>799</v>
      </c>
      <c r="F258" s="19"/>
      <c r="G258" s="20">
        <v>1.0</v>
      </c>
      <c r="H258" s="21">
        <v>231.0</v>
      </c>
      <c r="I258" s="21">
        <v>143.0</v>
      </c>
      <c r="J258" s="22">
        <v>6.0</v>
      </c>
      <c r="K258" s="50"/>
      <c r="L258" s="21" t="str">
        <f>IF(K258&gt;0,K258*I258,"")</f>
      </c>
      <c r="M258" s="52"/>
      <c r="N258" t="str">
        <f>IF(K258&gt;0,COUNTIF($K$7:K258,"&gt;0"),"")</f>
      </c>
      <c r="O258" t="s">
        <v>800</v>
      </c>
      <c r="P258" t="s">
        <v>797</v>
      </c>
    </row>
    <row r="259" spans="1:16" customHeight="1" ht="58">
      <c r="A259" s="16"/>
      <c r="B259" s="18" t="s">
        <v>798</v>
      </c>
      <c r="C259" s="17" t="s">
        <v>566</v>
      </c>
      <c r="D259" s="17" t="s">
        <v>267</v>
      </c>
      <c r="E259" s="17" t="s">
        <v>799</v>
      </c>
      <c r="F259" s="19"/>
      <c r="G259" s="20">
        <v>1.0</v>
      </c>
      <c r="H259" s="21">
        <v>231.0</v>
      </c>
      <c r="I259" s="21">
        <v>143.0</v>
      </c>
      <c r="J259" s="22">
        <v>31.0</v>
      </c>
      <c r="K259" s="50"/>
      <c r="L259" s="21" t="str">
        <f>IF(K259&gt;0,K259*I259,"")</f>
      </c>
      <c r="M259" s="52"/>
      <c r="N259" t="str">
        <f>IF(K259&gt;0,COUNTIF($K$7:K259,"&gt;0"),"")</f>
      </c>
      <c r="O259" t="s">
        <v>802</v>
      </c>
      <c r="P259" t="s">
        <v>801</v>
      </c>
    </row>
    <row r="260" spans="1:16" customHeight="1" ht="58">
      <c r="A260" s="16"/>
      <c r="B260" s="18" t="s">
        <v>798</v>
      </c>
      <c r="C260" s="17" t="s">
        <v>566</v>
      </c>
      <c r="D260" s="17" t="s">
        <v>254</v>
      </c>
      <c r="E260" s="17" t="s">
        <v>799</v>
      </c>
      <c r="F260" s="19"/>
      <c r="G260" s="20">
        <v>1.0</v>
      </c>
      <c r="H260" s="21">
        <v>231.0</v>
      </c>
      <c r="I260" s="21">
        <v>143.0</v>
      </c>
      <c r="J260" s="22">
        <v>54.0</v>
      </c>
      <c r="K260" s="50"/>
      <c r="L260" s="21" t="str">
        <f>IF(K260&gt;0,K260*I260,"")</f>
      </c>
      <c r="M260" s="52"/>
      <c r="N260" t="str">
        <f>IF(K260&gt;0,COUNTIF($K$7:K260,"&gt;0"),"")</f>
      </c>
      <c r="O260" t="s">
        <v>804</v>
      </c>
      <c r="P260" t="s">
        <v>803</v>
      </c>
    </row>
    <row r="261" spans="1:16" customHeight="1" ht="58">
      <c r="A261" s="16"/>
      <c r="B261" s="18" t="s">
        <v>806</v>
      </c>
      <c r="C261" s="17" t="s">
        <v>566</v>
      </c>
      <c r="D261" s="17" t="s">
        <v>270</v>
      </c>
      <c r="E261" s="17" t="s">
        <v>807</v>
      </c>
      <c r="F261" s="19"/>
      <c r="G261" s="20">
        <v>1.0</v>
      </c>
      <c r="H261" s="21">
        <v>198.0</v>
      </c>
      <c r="I261" s="21">
        <v>122.0</v>
      </c>
      <c r="J261" s="22">
        <v>11.0</v>
      </c>
      <c r="K261" s="50"/>
      <c r="L261" s="21" t="str">
        <f>IF(K261&gt;0,K261*I261,"")</f>
      </c>
      <c r="M261" s="52"/>
      <c r="N261" t="str">
        <f>IF(K261&gt;0,COUNTIF($K$7:K261,"&gt;0"),"")</f>
      </c>
      <c r="O261" t="s">
        <v>808</v>
      </c>
      <c r="P261" t="s">
        <v>805</v>
      </c>
    </row>
    <row r="262" spans="1:16" customHeight="1" ht="58">
      <c r="A262" s="16"/>
      <c r="B262" s="18" t="s">
        <v>806</v>
      </c>
      <c r="C262" s="17" t="s">
        <v>566</v>
      </c>
      <c r="D262" s="17" t="s">
        <v>641</v>
      </c>
      <c r="E262" s="17" t="s">
        <v>807</v>
      </c>
      <c r="F262" s="19"/>
      <c r="G262" s="20">
        <v>1.0</v>
      </c>
      <c r="H262" s="21">
        <v>198.0</v>
      </c>
      <c r="I262" s="21">
        <v>122.0</v>
      </c>
      <c r="J262" s="22">
        <v>31.0</v>
      </c>
      <c r="K262" s="50"/>
      <c r="L262" s="21" t="str">
        <f>IF(K262&gt;0,K262*I262,"")</f>
      </c>
      <c r="M262" s="52"/>
      <c r="N262" t="str">
        <f>IF(K262&gt;0,COUNTIF($K$7:K262,"&gt;0"),"")</f>
      </c>
      <c r="O262" t="s">
        <v>810</v>
      </c>
      <c r="P262" t="s">
        <v>809</v>
      </c>
    </row>
    <row r="263" spans="1:16" customHeight="1" ht="58">
      <c r="A263" s="16"/>
      <c r="B263" s="18" t="s">
        <v>812</v>
      </c>
      <c r="C263" s="17" t="s">
        <v>566</v>
      </c>
      <c r="D263" s="17" t="s">
        <v>270</v>
      </c>
      <c r="E263" s="17" t="s">
        <v>813</v>
      </c>
      <c r="F263" s="19"/>
      <c r="G263" s="20">
        <v>1.0</v>
      </c>
      <c r="H263" s="21">
        <v>220.0</v>
      </c>
      <c r="I263" s="21">
        <v>139.0</v>
      </c>
      <c r="J263" s="22">
        <v>58.0</v>
      </c>
      <c r="K263" s="50"/>
      <c r="L263" s="21" t="str">
        <f>IF(K263&gt;0,K263*I263,"")</f>
      </c>
      <c r="M263" s="52"/>
      <c r="N263" t="str">
        <f>IF(K263&gt;0,COUNTIF($K$7:K263,"&gt;0"),"")</f>
      </c>
      <c r="O263" t="s">
        <v>814</v>
      </c>
      <c r="P263" t="s">
        <v>811</v>
      </c>
    </row>
    <row r="264" spans="1:16" customHeight="1" ht="58">
      <c r="A264" s="16"/>
      <c r="B264" s="18" t="s">
        <v>812</v>
      </c>
      <c r="C264" s="17" t="s">
        <v>566</v>
      </c>
      <c r="D264" s="17" t="s">
        <v>816</v>
      </c>
      <c r="E264" s="17" t="s">
        <v>813</v>
      </c>
      <c r="F264" s="19"/>
      <c r="G264" s="20">
        <v>1.0</v>
      </c>
      <c r="H264" s="21">
        <v>220.0</v>
      </c>
      <c r="I264" s="21">
        <v>139.0</v>
      </c>
      <c r="J264" s="22">
        <v>40.0</v>
      </c>
      <c r="K264" s="50"/>
      <c r="L264" s="21" t="str">
        <f>IF(K264&gt;0,K264*I264,"")</f>
      </c>
      <c r="M264" s="52"/>
      <c r="N264" t="str">
        <f>IF(K264&gt;0,COUNTIF($K$7:K264,"&gt;0"),"")</f>
      </c>
      <c r="O264" t="s">
        <v>817</v>
      </c>
      <c r="P264" t="s">
        <v>815</v>
      </c>
    </row>
    <row r="265" spans="1:16" customHeight="1" ht="58">
      <c r="A265" s="16"/>
      <c r="B265" s="18" t="s">
        <v>812</v>
      </c>
      <c r="C265" s="17" t="s">
        <v>566</v>
      </c>
      <c r="D265" s="17" t="s">
        <v>264</v>
      </c>
      <c r="E265" s="17" t="s">
        <v>813</v>
      </c>
      <c r="F265" s="19"/>
      <c r="G265" s="20">
        <v>1.0</v>
      </c>
      <c r="H265" s="21">
        <v>220.0</v>
      </c>
      <c r="I265" s="21">
        <v>139.0</v>
      </c>
      <c r="J265" s="22">
        <v>4.0</v>
      </c>
      <c r="K265" s="50"/>
      <c r="L265" s="21" t="str">
        <f>IF(K265&gt;0,K265*I265,"")</f>
      </c>
      <c r="M265" s="52"/>
      <c r="N265" t="str">
        <f>IF(K265&gt;0,COUNTIF($K$7:K265,"&gt;0"),"")</f>
      </c>
      <c r="O265" t="s">
        <v>819</v>
      </c>
      <c r="P265" t="s">
        <v>818</v>
      </c>
    </row>
    <row r="266" spans="1:16" customHeight="1" ht="58">
      <c r="A266" s="16"/>
      <c r="B266" s="18" t="s">
        <v>812</v>
      </c>
      <c r="C266" s="17" t="s">
        <v>566</v>
      </c>
      <c r="D266" s="17" t="s">
        <v>693</v>
      </c>
      <c r="E266" s="17" t="s">
        <v>813</v>
      </c>
      <c r="F266" s="19"/>
      <c r="G266" s="20">
        <v>1.0</v>
      </c>
      <c r="H266" s="21">
        <v>220.0</v>
      </c>
      <c r="I266" s="21">
        <v>139.0</v>
      </c>
      <c r="J266" s="22">
        <v>2.0</v>
      </c>
      <c r="K266" s="50"/>
      <c r="L266" s="21" t="str">
        <f>IF(K266&gt;0,K266*I266,"")</f>
      </c>
      <c r="M266" s="52"/>
      <c r="N266" t="str">
        <f>IF(K266&gt;0,COUNTIF($K$7:K266,"&gt;0"),"")</f>
      </c>
      <c r="O266" t="s">
        <v>821</v>
      </c>
      <c r="P266" t="s">
        <v>820</v>
      </c>
    </row>
    <row r="267" spans="1:16" customHeight="1" ht="58">
      <c r="A267" s="16"/>
      <c r="B267" s="18" t="s">
        <v>812</v>
      </c>
      <c r="C267" s="17" t="s">
        <v>566</v>
      </c>
      <c r="D267" s="17" t="s">
        <v>254</v>
      </c>
      <c r="E267" s="17" t="s">
        <v>813</v>
      </c>
      <c r="F267" s="19"/>
      <c r="G267" s="20">
        <v>1.0</v>
      </c>
      <c r="H267" s="21">
        <v>220.0</v>
      </c>
      <c r="I267" s="21">
        <v>139.0</v>
      </c>
      <c r="J267" s="22">
        <v>31.0</v>
      </c>
      <c r="K267" s="50"/>
      <c r="L267" s="21" t="str">
        <f>IF(K267&gt;0,K267*I267,"")</f>
      </c>
      <c r="M267" s="52"/>
      <c r="N267" t="str">
        <f>IF(K267&gt;0,COUNTIF($K$7:K267,"&gt;0"),"")</f>
      </c>
      <c r="O267" t="s">
        <v>823</v>
      </c>
      <c r="P267" t="s">
        <v>822</v>
      </c>
    </row>
    <row r="268" spans="1:16" customHeight="1" ht="58">
      <c r="A268" s="16"/>
      <c r="B268" s="18" t="s">
        <v>812</v>
      </c>
      <c r="C268" s="17" t="s">
        <v>566</v>
      </c>
      <c r="D268" s="17" t="s">
        <v>331</v>
      </c>
      <c r="E268" s="17" t="s">
        <v>813</v>
      </c>
      <c r="F268" s="19"/>
      <c r="G268" s="20">
        <v>1.0</v>
      </c>
      <c r="H268" s="21">
        <v>220.0</v>
      </c>
      <c r="I268" s="21">
        <v>139.0</v>
      </c>
      <c r="J268" s="22">
        <v>15.0</v>
      </c>
      <c r="K268" s="50"/>
      <c r="L268" s="21" t="str">
        <f>IF(K268&gt;0,K268*I268,"")</f>
      </c>
      <c r="M268" s="52"/>
      <c r="N268" t="str">
        <f>IF(K268&gt;0,COUNTIF($K$7:K268,"&gt;0"),"")</f>
      </c>
      <c r="O268" t="s">
        <v>825</v>
      </c>
      <c r="P268" t="s">
        <v>824</v>
      </c>
    </row>
    <row r="269" spans="1:16" customHeight="1" ht="58">
      <c r="A269" s="16"/>
      <c r="B269" s="18" t="s">
        <v>812</v>
      </c>
      <c r="C269" s="17" t="s">
        <v>566</v>
      </c>
      <c r="D269" s="17" t="s">
        <v>258</v>
      </c>
      <c r="E269" s="17" t="s">
        <v>813</v>
      </c>
      <c r="F269" s="19"/>
      <c r="G269" s="20">
        <v>1.0</v>
      </c>
      <c r="H269" s="21">
        <v>220.0</v>
      </c>
      <c r="I269" s="21">
        <v>139.0</v>
      </c>
      <c r="J269" s="22">
        <v>27.0</v>
      </c>
      <c r="K269" s="50"/>
      <c r="L269" s="21" t="str">
        <f>IF(K269&gt;0,K269*I269,"")</f>
      </c>
      <c r="M269" s="52"/>
      <c r="N269" t="str">
        <f>IF(K269&gt;0,COUNTIF($K$7:K269,"&gt;0"),"")</f>
      </c>
      <c r="O269" t="s">
        <v>827</v>
      </c>
      <c r="P269" t="s">
        <v>826</v>
      </c>
    </row>
    <row r="270" spans="1:16" customHeight="1" ht="58">
      <c r="A270" s="16"/>
      <c r="B270" s="18" t="s">
        <v>829</v>
      </c>
      <c r="C270" s="17" t="s">
        <v>566</v>
      </c>
      <c r="D270" s="17" t="s">
        <v>270</v>
      </c>
      <c r="E270" s="17" t="s">
        <v>830</v>
      </c>
      <c r="F270" s="19"/>
      <c r="G270" s="20">
        <v>1.0</v>
      </c>
      <c r="H270" s="21">
        <v>231.0</v>
      </c>
      <c r="I270" s="21">
        <v>144.0</v>
      </c>
      <c r="J270" s="22">
        <v>51.0</v>
      </c>
      <c r="K270" s="50"/>
      <c r="L270" s="21" t="str">
        <f>IF(K270&gt;0,K270*I270,"")</f>
      </c>
      <c r="M270" s="52"/>
      <c r="N270" t="str">
        <f>IF(K270&gt;0,COUNTIF($K$7:K270,"&gt;0"),"")</f>
      </c>
      <c r="O270" t="s">
        <v>831</v>
      </c>
      <c r="P270" t="s">
        <v>828</v>
      </c>
    </row>
    <row r="271" spans="1:16" customHeight="1" ht="58">
      <c r="A271" s="16"/>
      <c r="B271" s="18" t="s">
        <v>829</v>
      </c>
      <c r="C271" s="17" t="s">
        <v>566</v>
      </c>
      <c r="D271" s="17" t="s">
        <v>264</v>
      </c>
      <c r="E271" s="17" t="s">
        <v>830</v>
      </c>
      <c r="F271" s="19"/>
      <c r="G271" s="20">
        <v>1.0</v>
      </c>
      <c r="H271" s="21">
        <v>231.0</v>
      </c>
      <c r="I271" s="21">
        <v>144.0</v>
      </c>
      <c r="J271" s="22">
        <v>11.0</v>
      </c>
      <c r="K271" s="50"/>
      <c r="L271" s="21" t="str">
        <f>IF(K271&gt;0,K271*I271,"")</f>
      </c>
      <c r="M271" s="52"/>
      <c r="N271" t="str">
        <f>IF(K271&gt;0,COUNTIF($K$7:K271,"&gt;0"),"")</f>
      </c>
      <c r="O271" t="s">
        <v>833</v>
      </c>
      <c r="P271" t="s">
        <v>832</v>
      </c>
    </row>
    <row r="272" spans="1:16" customHeight="1" ht="58">
      <c r="A272" s="16"/>
      <c r="B272" s="18" t="s">
        <v>829</v>
      </c>
      <c r="C272" s="17" t="s">
        <v>566</v>
      </c>
      <c r="D272" s="17" t="s">
        <v>835</v>
      </c>
      <c r="E272" s="17" t="s">
        <v>830</v>
      </c>
      <c r="F272" s="19"/>
      <c r="G272" s="20">
        <v>1.0</v>
      </c>
      <c r="H272" s="21">
        <v>231.0</v>
      </c>
      <c r="I272" s="21">
        <v>144.0</v>
      </c>
      <c r="J272" s="22">
        <v>121.0</v>
      </c>
      <c r="K272" s="50"/>
      <c r="L272" s="21" t="str">
        <f>IF(K272&gt;0,K272*I272,"")</f>
      </c>
      <c r="M272" s="52"/>
      <c r="N272" t="str">
        <f>IF(K272&gt;0,COUNTIF($K$7:K272,"&gt;0"),"")</f>
      </c>
      <c r="O272" t="s">
        <v>836</v>
      </c>
      <c r="P272" t="s">
        <v>834</v>
      </c>
    </row>
    <row r="273" spans="1:16" customHeight="1" ht="58">
      <c r="A273" s="16"/>
      <c r="B273" s="18" t="s">
        <v>829</v>
      </c>
      <c r="C273" s="17" t="s">
        <v>566</v>
      </c>
      <c r="D273" s="17" t="s">
        <v>331</v>
      </c>
      <c r="E273" s="17" t="s">
        <v>830</v>
      </c>
      <c r="F273" s="19"/>
      <c r="G273" s="20">
        <v>1.0</v>
      </c>
      <c r="H273" s="21">
        <v>231.0</v>
      </c>
      <c r="I273" s="21">
        <v>144.0</v>
      </c>
      <c r="J273" s="22">
        <v>102.0</v>
      </c>
      <c r="K273" s="50"/>
      <c r="L273" s="21" t="str">
        <f>IF(K273&gt;0,K273*I273,"")</f>
      </c>
      <c r="M273" s="52"/>
      <c r="N273" t="str">
        <f>IF(K273&gt;0,COUNTIF($K$7:K273,"&gt;0"),"")</f>
      </c>
      <c r="O273" t="s">
        <v>838</v>
      </c>
      <c r="P273" t="s">
        <v>837</v>
      </c>
    </row>
    <row r="274" spans="1:16" customHeight="1" ht="58">
      <c r="A274" s="16"/>
      <c r="B274" s="18" t="s">
        <v>829</v>
      </c>
      <c r="C274" s="17" t="s">
        <v>566</v>
      </c>
      <c r="D274" s="17" t="s">
        <v>267</v>
      </c>
      <c r="E274" s="17" t="s">
        <v>830</v>
      </c>
      <c r="F274" s="19"/>
      <c r="G274" s="20">
        <v>1.0</v>
      </c>
      <c r="H274" s="21">
        <v>231.0</v>
      </c>
      <c r="I274" s="21">
        <v>144.0</v>
      </c>
      <c r="J274" s="22">
        <v>73.0</v>
      </c>
      <c r="K274" s="50"/>
      <c r="L274" s="21" t="str">
        <f>IF(K274&gt;0,K274*I274,"")</f>
      </c>
      <c r="M274" s="52"/>
      <c r="N274" t="str">
        <f>IF(K274&gt;0,COUNTIF($K$7:K274,"&gt;0"),"")</f>
      </c>
      <c r="O274" t="s">
        <v>840</v>
      </c>
      <c r="P274" t="s">
        <v>839</v>
      </c>
    </row>
    <row r="275" spans="1:16" customHeight="1" ht="58">
      <c r="A275" s="16"/>
      <c r="B275" s="18" t="s">
        <v>829</v>
      </c>
      <c r="C275" s="17" t="s">
        <v>566</v>
      </c>
      <c r="D275" s="17" t="s">
        <v>258</v>
      </c>
      <c r="E275" s="17" t="s">
        <v>830</v>
      </c>
      <c r="F275" s="19"/>
      <c r="G275" s="20">
        <v>1.0</v>
      </c>
      <c r="H275" s="21">
        <v>231.0</v>
      </c>
      <c r="I275" s="21">
        <v>144.0</v>
      </c>
      <c r="J275" s="22">
        <v>85.0</v>
      </c>
      <c r="K275" s="50"/>
      <c r="L275" s="21" t="str">
        <f>IF(K275&gt;0,K275*I275,"")</f>
      </c>
      <c r="M275" s="52"/>
      <c r="N275" t="str">
        <f>IF(K275&gt;0,COUNTIF($K$7:K275,"&gt;0"),"")</f>
      </c>
      <c r="O275" t="s">
        <v>842</v>
      </c>
      <c r="P275" t="s">
        <v>841</v>
      </c>
    </row>
    <row r="276" spans="1:16" customHeight="1" ht="58">
      <c r="A276" s="16"/>
      <c r="B276" s="18" t="s">
        <v>844</v>
      </c>
      <c r="C276" s="17" t="s">
        <v>566</v>
      </c>
      <c r="D276" s="17" t="s">
        <v>845</v>
      </c>
      <c r="E276" s="17" t="s">
        <v>846</v>
      </c>
      <c r="F276" s="19"/>
      <c r="G276" s="20">
        <v>1.0</v>
      </c>
      <c r="H276" s="21">
        <v>275.0</v>
      </c>
      <c r="I276" s="21">
        <v>176.0</v>
      </c>
      <c r="J276" s="22">
        <v>20.0</v>
      </c>
      <c r="K276" s="50"/>
      <c r="L276" s="21" t="str">
        <f>IF(K276&gt;0,K276*I276,"")</f>
      </c>
      <c r="M276" s="52"/>
      <c r="N276" t="str">
        <f>IF(K276&gt;0,COUNTIF($K$7:K276,"&gt;0"),"")</f>
      </c>
      <c r="O276" t="s">
        <v>847</v>
      </c>
      <c r="P276" t="s">
        <v>843</v>
      </c>
    </row>
    <row r="277" spans="1:16" customHeight="1" ht="58">
      <c r="A277" s="16"/>
      <c r="B277" s="18" t="s">
        <v>849</v>
      </c>
      <c r="C277" s="17" t="s">
        <v>566</v>
      </c>
      <c r="D277" s="17" t="s">
        <v>835</v>
      </c>
      <c r="E277" s="17" t="s">
        <v>850</v>
      </c>
      <c r="F277" s="19"/>
      <c r="G277" s="20">
        <v>1.0</v>
      </c>
      <c r="H277" s="21">
        <v>198.0</v>
      </c>
      <c r="I277" s="21">
        <v>126.0</v>
      </c>
      <c r="J277" s="22">
        <v>55.0</v>
      </c>
      <c r="K277" s="50"/>
      <c r="L277" s="21" t="str">
        <f>IF(K277&gt;0,K277*I277,"")</f>
      </c>
      <c r="M277" s="52"/>
      <c r="N277" t="str">
        <f>IF(K277&gt;0,COUNTIF($K$7:K277,"&gt;0"),"")</f>
      </c>
      <c r="O277" t="s">
        <v>851</v>
      </c>
      <c r="P277" t="s">
        <v>848</v>
      </c>
    </row>
    <row r="278" spans="1:16" customHeight="1" ht="58">
      <c r="A278" s="16"/>
      <c r="B278" s="18" t="s">
        <v>849</v>
      </c>
      <c r="C278" s="17" t="s">
        <v>566</v>
      </c>
      <c r="D278" s="17" t="s">
        <v>687</v>
      </c>
      <c r="E278" s="17" t="s">
        <v>850</v>
      </c>
      <c r="F278" s="19"/>
      <c r="G278" s="20">
        <v>1.0</v>
      </c>
      <c r="H278" s="21">
        <v>198.0</v>
      </c>
      <c r="I278" s="21">
        <v>126.0</v>
      </c>
      <c r="J278" s="22">
        <v>45.0</v>
      </c>
      <c r="K278" s="50"/>
      <c r="L278" s="21" t="str">
        <f>IF(K278&gt;0,K278*I278,"")</f>
      </c>
      <c r="M278" s="52"/>
      <c r="N278" t="str">
        <f>IF(K278&gt;0,COUNTIF($K$7:K278,"&gt;0"),"")</f>
      </c>
      <c r="O278" t="s">
        <v>853</v>
      </c>
      <c r="P278" t="s">
        <v>852</v>
      </c>
    </row>
    <row r="279" spans="1:16" customHeight="1" ht="58">
      <c r="A279" s="16"/>
      <c r="B279" s="18" t="s">
        <v>849</v>
      </c>
      <c r="C279" s="17" t="s">
        <v>566</v>
      </c>
      <c r="D279" s="17" t="s">
        <v>641</v>
      </c>
      <c r="E279" s="17" t="s">
        <v>850</v>
      </c>
      <c r="F279" s="19"/>
      <c r="G279" s="20">
        <v>1.0</v>
      </c>
      <c r="H279" s="21">
        <v>198.0</v>
      </c>
      <c r="I279" s="21">
        <v>126.0</v>
      </c>
      <c r="J279" s="22">
        <v>102.0</v>
      </c>
      <c r="K279" s="50"/>
      <c r="L279" s="21" t="str">
        <f>IF(K279&gt;0,K279*I279,"")</f>
      </c>
      <c r="M279" s="52"/>
      <c r="N279" t="str">
        <f>IF(K279&gt;0,COUNTIF($K$7:K279,"&gt;0"),"")</f>
      </c>
      <c r="O279" t="s">
        <v>855</v>
      </c>
      <c r="P279" t="s">
        <v>854</v>
      </c>
    </row>
    <row r="280" spans="1:16" customHeight="1" ht="58">
      <c r="A280" s="16"/>
      <c r="B280" s="18" t="s">
        <v>857</v>
      </c>
      <c r="C280" s="17" t="s">
        <v>566</v>
      </c>
      <c r="D280" s="17" t="s">
        <v>858</v>
      </c>
      <c r="E280" s="17" t="s">
        <v>859</v>
      </c>
      <c r="F280" s="19"/>
      <c r="G280" s="20">
        <v>1.0</v>
      </c>
      <c r="H280" s="21">
        <v>209.0</v>
      </c>
      <c r="I280" s="21">
        <v>130.0</v>
      </c>
      <c r="J280" s="22">
        <v>22.0</v>
      </c>
      <c r="K280" s="50"/>
      <c r="L280" s="21" t="str">
        <f>IF(K280&gt;0,K280*I280,"")</f>
      </c>
      <c r="M280" s="52"/>
      <c r="N280" t="str">
        <f>IF(K280&gt;0,COUNTIF($K$7:K280,"&gt;0"),"")</f>
      </c>
      <c r="O280" t="s">
        <v>860</v>
      </c>
      <c r="P280" t="s">
        <v>856</v>
      </c>
    </row>
    <row r="281" spans="1:16" customHeight="1" ht="58">
      <c r="A281" s="16"/>
      <c r="B281" s="18" t="s">
        <v>857</v>
      </c>
      <c r="C281" s="17" t="s">
        <v>566</v>
      </c>
      <c r="D281" s="17" t="s">
        <v>356</v>
      </c>
      <c r="E281" s="17" t="s">
        <v>859</v>
      </c>
      <c r="F281" s="19"/>
      <c r="G281" s="20">
        <v>1.0</v>
      </c>
      <c r="H281" s="21">
        <v>209.0</v>
      </c>
      <c r="I281" s="21">
        <v>130.0</v>
      </c>
      <c r="J281" s="22">
        <v>59.0</v>
      </c>
      <c r="K281" s="50"/>
      <c r="L281" s="21" t="str">
        <f>IF(K281&gt;0,K281*I281,"")</f>
      </c>
      <c r="M281" s="52"/>
      <c r="N281" t="str">
        <f>IF(K281&gt;0,COUNTIF($K$7:K281,"&gt;0"),"")</f>
      </c>
      <c r="O281" t="s">
        <v>862</v>
      </c>
      <c r="P281" t="s">
        <v>861</v>
      </c>
    </row>
    <row r="282" spans="1:16" customHeight="1" ht="58">
      <c r="A282" s="16"/>
      <c r="B282" s="18" t="s">
        <v>864</v>
      </c>
      <c r="C282" s="17" t="s">
        <v>566</v>
      </c>
      <c r="D282" s="17" t="s">
        <v>264</v>
      </c>
      <c r="E282" s="17" t="s">
        <v>865</v>
      </c>
      <c r="F282" s="19"/>
      <c r="G282" s="20">
        <v>1.0</v>
      </c>
      <c r="H282" s="21">
        <v>209.0</v>
      </c>
      <c r="I282" s="21">
        <v>131.0</v>
      </c>
      <c r="J282" s="22">
        <v>21.0</v>
      </c>
      <c r="K282" s="50"/>
      <c r="L282" s="21" t="str">
        <f>IF(K282&gt;0,K282*I282,"")</f>
      </c>
      <c r="M282" s="52"/>
      <c r="N282" t="str">
        <f>IF(K282&gt;0,COUNTIF($K$7:K282,"&gt;0"),"")</f>
      </c>
      <c r="O282" t="s">
        <v>866</v>
      </c>
      <c r="P282" t="s">
        <v>863</v>
      </c>
    </row>
    <row r="283" spans="1:16" customHeight="1" ht="58">
      <c r="A283" s="16"/>
      <c r="B283" s="18" t="s">
        <v>864</v>
      </c>
      <c r="C283" s="17" t="s">
        <v>566</v>
      </c>
      <c r="D283" s="17" t="s">
        <v>868</v>
      </c>
      <c r="E283" s="17" t="s">
        <v>865</v>
      </c>
      <c r="F283" s="19"/>
      <c r="G283" s="20">
        <v>1.0</v>
      </c>
      <c r="H283" s="21">
        <v>209.0</v>
      </c>
      <c r="I283" s="21">
        <v>131.0</v>
      </c>
      <c r="J283" s="22">
        <v>26.0</v>
      </c>
      <c r="K283" s="50"/>
      <c r="L283" s="21" t="str">
        <f>IF(K283&gt;0,K283*I283,"")</f>
      </c>
      <c r="M283" s="52"/>
      <c r="N283" t="str">
        <f>IF(K283&gt;0,COUNTIF($K$7:K283,"&gt;0"),"")</f>
      </c>
      <c r="O283" t="s">
        <v>869</v>
      </c>
      <c r="P283" t="s">
        <v>867</v>
      </c>
    </row>
    <row r="284" spans="1:16" customHeight="1" ht="58">
      <c r="A284" s="16"/>
      <c r="B284" s="18" t="s">
        <v>864</v>
      </c>
      <c r="C284" s="17" t="s">
        <v>566</v>
      </c>
      <c r="D284" s="17" t="s">
        <v>646</v>
      </c>
      <c r="E284" s="17" t="s">
        <v>865</v>
      </c>
      <c r="F284" s="19"/>
      <c r="G284" s="20">
        <v>1.0</v>
      </c>
      <c r="H284" s="21">
        <v>209.0</v>
      </c>
      <c r="I284" s="21">
        <v>131.0</v>
      </c>
      <c r="J284" s="22">
        <v>97.0</v>
      </c>
      <c r="K284" s="50"/>
      <c r="L284" s="21" t="str">
        <f>IF(K284&gt;0,K284*I284,"")</f>
      </c>
      <c r="M284" s="52"/>
      <c r="N284" t="str">
        <f>IF(K284&gt;0,COUNTIF($K$7:K284,"&gt;0"),"")</f>
      </c>
      <c r="O284" t="s">
        <v>871</v>
      </c>
      <c r="P284" t="s">
        <v>870</v>
      </c>
    </row>
    <row r="285" spans="1:16" customHeight="1" ht="58">
      <c r="A285" s="16"/>
      <c r="B285" s="18" t="s">
        <v>864</v>
      </c>
      <c r="C285" s="17" t="s">
        <v>566</v>
      </c>
      <c r="D285" s="17" t="s">
        <v>267</v>
      </c>
      <c r="E285" s="17" t="s">
        <v>865</v>
      </c>
      <c r="F285" s="19"/>
      <c r="G285" s="20">
        <v>1.0</v>
      </c>
      <c r="H285" s="21">
        <v>209.0</v>
      </c>
      <c r="I285" s="21">
        <v>131.0</v>
      </c>
      <c r="J285" s="22">
        <v>42.0</v>
      </c>
      <c r="K285" s="50"/>
      <c r="L285" s="21" t="str">
        <f>IF(K285&gt;0,K285*I285,"")</f>
      </c>
      <c r="M285" s="52"/>
      <c r="N285" t="str">
        <f>IF(K285&gt;0,COUNTIF($K$7:K285,"&gt;0"),"")</f>
      </c>
      <c r="O285" t="s">
        <v>873</v>
      </c>
      <c r="P285" t="s">
        <v>872</v>
      </c>
    </row>
    <row r="286" spans="1:16" customHeight="1" ht="58">
      <c r="A286" s="16"/>
      <c r="B286" s="18" t="s">
        <v>864</v>
      </c>
      <c r="C286" s="17" t="s">
        <v>566</v>
      </c>
      <c r="D286" s="17" t="s">
        <v>331</v>
      </c>
      <c r="E286" s="17" t="s">
        <v>865</v>
      </c>
      <c r="F286" s="19"/>
      <c r="G286" s="20">
        <v>1.0</v>
      </c>
      <c r="H286" s="21">
        <v>209.0</v>
      </c>
      <c r="I286" s="21">
        <v>131.0</v>
      </c>
      <c r="J286" s="22">
        <v>10.0</v>
      </c>
      <c r="K286" s="50"/>
      <c r="L286" s="21" t="str">
        <f>IF(K286&gt;0,K286*I286,"")</f>
      </c>
      <c r="M286" s="52"/>
      <c r="N286" t="str">
        <f>IF(K286&gt;0,COUNTIF($K$7:K286,"&gt;0"),"")</f>
      </c>
      <c r="O286" t="s">
        <v>875</v>
      </c>
      <c r="P286" t="s">
        <v>874</v>
      </c>
    </row>
    <row r="287" spans="1:16" customHeight="1" ht="58">
      <c r="A287" s="16"/>
      <c r="B287" s="18" t="s">
        <v>864</v>
      </c>
      <c r="C287" s="17" t="s">
        <v>566</v>
      </c>
      <c r="D287" s="17" t="s">
        <v>835</v>
      </c>
      <c r="E287" s="17" t="s">
        <v>865</v>
      </c>
      <c r="F287" s="19"/>
      <c r="G287" s="20">
        <v>1.0</v>
      </c>
      <c r="H287" s="21">
        <v>209.0</v>
      </c>
      <c r="I287" s="21">
        <v>131.0</v>
      </c>
      <c r="J287" s="22">
        <v>31.0</v>
      </c>
      <c r="K287" s="50"/>
      <c r="L287" s="21" t="str">
        <f>IF(K287&gt;0,K287*I287,"")</f>
      </c>
      <c r="M287" s="52"/>
      <c r="N287" t="str">
        <f>IF(K287&gt;0,COUNTIF($K$7:K287,"&gt;0"),"")</f>
      </c>
      <c r="O287" t="s">
        <v>877</v>
      </c>
      <c r="P287" t="s">
        <v>876</v>
      </c>
    </row>
    <row r="288" spans="1:16" customHeight="1" ht="58">
      <c r="A288" s="16"/>
      <c r="B288" s="18" t="s">
        <v>879</v>
      </c>
      <c r="C288" s="17" t="s">
        <v>566</v>
      </c>
      <c r="D288" s="17" t="s">
        <v>264</v>
      </c>
      <c r="E288" s="17" t="s">
        <v>880</v>
      </c>
      <c r="F288" s="19"/>
      <c r="G288" s="20">
        <v>1.0</v>
      </c>
      <c r="H288" s="21">
        <v>220.0</v>
      </c>
      <c r="I288" s="21">
        <v>136.0</v>
      </c>
      <c r="J288" s="22">
        <v>36.0</v>
      </c>
      <c r="K288" s="50"/>
      <c r="L288" s="21" t="str">
        <f>IF(K288&gt;0,K288*I288,"")</f>
      </c>
      <c r="M288" s="52"/>
      <c r="N288" t="str">
        <f>IF(K288&gt;0,COUNTIF($K$7:K288,"&gt;0"),"")</f>
      </c>
      <c r="O288" t="s">
        <v>881</v>
      </c>
      <c r="P288" t="s">
        <v>878</v>
      </c>
    </row>
    <row r="289" spans="1:16" customHeight="1" ht="58">
      <c r="A289" s="16"/>
      <c r="B289" s="18" t="s">
        <v>879</v>
      </c>
      <c r="C289" s="17" t="s">
        <v>566</v>
      </c>
      <c r="D289" s="17" t="s">
        <v>270</v>
      </c>
      <c r="E289" s="17" t="s">
        <v>880</v>
      </c>
      <c r="F289" s="19"/>
      <c r="G289" s="20">
        <v>1.0</v>
      </c>
      <c r="H289" s="21">
        <v>220.0</v>
      </c>
      <c r="I289" s="21">
        <v>136.0</v>
      </c>
      <c r="J289" s="22">
        <v>81.0</v>
      </c>
      <c r="K289" s="50"/>
      <c r="L289" s="21" t="str">
        <f>IF(K289&gt;0,K289*I289,"")</f>
      </c>
      <c r="M289" s="52"/>
      <c r="N289" t="str">
        <f>IF(K289&gt;0,COUNTIF($K$7:K289,"&gt;0"),"")</f>
      </c>
      <c r="O289" t="s">
        <v>883</v>
      </c>
      <c r="P289" t="s">
        <v>882</v>
      </c>
    </row>
    <row r="290" spans="1:16" customHeight="1" ht="58">
      <c r="A290" s="16"/>
      <c r="B290" s="18" t="s">
        <v>885</v>
      </c>
      <c r="C290" s="17" t="s">
        <v>566</v>
      </c>
      <c r="D290" s="17" t="s">
        <v>331</v>
      </c>
      <c r="E290" s="17" t="s">
        <v>886</v>
      </c>
      <c r="F290" s="19"/>
      <c r="G290" s="20">
        <v>1.0</v>
      </c>
      <c r="H290" s="21">
        <v>231.0</v>
      </c>
      <c r="I290" s="21">
        <v>149.0</v>
      </c>
      <c r="J290" s="22">
        <v>54.0</v>
      </c>
      <c r="K290" s="50"/>
      <c r="L290" s="21" t="str">
        <f>IF(K290&gt;0,K290*I290,"")</f>
      </c>
      <c r="M290" s="52"/>
      <c r="N290" t="str">
        <f>IF(K290&gt;0,COUNTIF($K$7:K290,"&gt;0"),"")</f>
      </c>
      <c r="O290" t="s">
        <v>887</v>
      </c>
      <c r="P290" t="s">
        <v>884</v>
      </c>
    </row>
    <row r="291" spans="1:16" customHeight="1" ht="58">
      <c r="A291" s="16"/>
      <c r="B291" s="18" t="s">
        <v>885</v>
      </c>
      <c r="C291" s="17" t="s">
        <v>566</v>
      </c>
      <c r="D291" s="17" t="s">
        <v>889</v>
      </c>
      <c r="E291" s="17" t="s">
        <v>886</v>
      </c>
      <c r="F291" s="19"/>
      <c r="G291" s="20">
        <v>1.0</v>
      </c>
      <c r="H291" s="21">
        <v>231.0</v>
      </c>
      <c r="I291" s="21">
        <v>149.0</v>
      </c>
      <c r="J291" s="22">
        <v>97.0</v>
      </c>
      <c r="K291" s="50"/>
      <c r="L291" s="21" t="str">
        <f>IF(K291&gt;0,K291*I291,"")</f>
      </c>
      <c r="M291" s="52"/>
      <c r="N291" t="str">
        <f>IF(K291&gt;0,COUNTIF($K$7:K291,"&gt;0"),"")</f>
      </c>
      <c r="O291" t="s">
        <v>890</v>
      </c>
      <c r="P291" t="s">
        <v>888</v>
      </c>
    </row>
    <row r="292" spans="1:16" customHeight="1" ht="58">
      <c r="A292" s="16"/>
      <c r="B292" s="18" t="s">
        <v>885</v>
      </c>
      <c r="C292" s="17" t="s">
        <v>566</v>
      </c>
      <c r="D292" s="17" t="s">
        <v>270</v>
      </c>
      <c r="E292" s="17" t="s">
        <v>886</v>
      </c>
      <c r="F292" s="19"/>
      <c r="G292" s="20">
        <v>1.0</v>
      </c>
      <c r="H292" s="21">
        <v>231.0</v>
      </c>
      <c r="I292" s="21">
        <v>149.0</v>
      </c>
      <c r="J292" s="22">
        <v>42.0</v>
      </c>
      <c r="K292" s="50"/>
      <c r="L292" s="21" t="str">
        <f>IF(K292&gt;0,K292*I292,"")</f>
      </c>
      <c r="M292" s="52"/>
      <c r="N292" t="str">
        <f>IF(K292&gt;0,COUNTIF($K$7:K292,"&gt;0"),"")</f>
      </c>
      <c r="O292" t="s">
        <v>892</v>
      </c>
      <c r="P292" t="s">
        <v>891</v>
      </c>
    </row>
    <row r="293" spans="1:16" customHeight="1" ht="58">
      <c r="A293" s="16"/>
      <c r="B293" s="18" t="s">
        <v>885</v>
      </c>
      <c r="C293" s="17" t="s">
        <v>566</v>
      </c>
      <c r="D293" s="17" t="s">
        <v>264</v>
      </c>
      <c r="E293" s="17" t="s">
        <v>886</v>
      </c>
      <c r="F293" s="19"/>
      <c r="G293" s="20">
        <v>1.0</v>
      </c>
      <c r="H293" s="21">
        <v>231.0</v>
      </c>
      <c r="I293" s="21">
        <v>149.0</v>
      </c>
      <c r="J293" s="22">
        <v>89.0</v>
      </c>
      <c r="K293" s="50"/>
      <c r="L293" s="21" t="str">
        <f>IF(K293&gt;0,K293*I293,"")</f>
      </c>
      <c r="M293" s="52"/>
      <c r="N293" t="str">
        <f>IF(K293&gt;0,COUNTIF($K$7:K293,"&gt;0"),"")</f>
      </c>
      <c r="O293" t="s">
        <v>894</v>
      </c>
      <c r="P293" t="s">
        <v>893</v>
      </c>
    </row>
    <row r="294" spans="1:16" customHeight="1" ht="58">
      <c r="A294" s="16"/>
      <c r="B294" s="18" t="s">
        <v>885</v>
      </c>
      <c r="C294" s="17" t="s">
        <v>566</v>
      </c>
      <c r="D294" s="17" t="s">
        <v>693</v>
      </c>
      <c r="E294" s="17" t="s">
        <v>886</v>
      </c>
      <c r="F294" s="19"/>
      <c r="G294" s="20">
        <v>1.0</v>
      </c>
      <c r="H294" s="21">
        <v>231.0</v>
      </c>
      <c r="I294" s="21">
        <v>149.0</v>
      </c>
      <c r="J294" s="22">
        <v>20.0</v>
      </c>
      <c r="K294" s="50"/>
      <c r="L294" s="21" t="str">
        <f>IF(K294&gt;0,K294*I294,"")</f>
      </c>
      <c r="M294" s="52"/>
      <c r="N294" t="str">
        <f>IF(K294&gt;0,COUNTIF($K$7:K294,"&gt;0"),"")</f>
      </c>
      <c r="O294" t="s">
        <v>896</v>
      </c>
      <c r="P294" t="s">
        <v>895</v>
      </c>
    </row>
    <row r="295" spans="1:16" customHeight="1" ht="58">
      <c r="A295" s="16"/>
      <c r="B295" s="18" t="s">
        <v>898</v>
      </c>
      <c r="C295" s="17" t="s">
        <v>566</v>
      </c>
      <c r="D295" s="17" t="s">
        <v>264</v>
      </c>
      <c r="E295" s="17" t="s">
        <v>899</v>
      </c>
      <c r="F295" s="19"/>
      <c r="G295" s="20">
        <v>1.0</v>
      </c>
      <c r="H295" s="21">
        <v>990.0</v>
      </c>
      <c r="I295" s="21">
        <v>633.0</v>
      </c>
      <c r="J295" s="22">
        <v>7.0</v>
      </c>
      <c r="K295" s="50"/>
      <c r="L295" s="21" t="str">
        <f>IF(K295&gt;0,K295*I295,"")</f>
      </c>
      <c r="M295" s="52"/>
      <c r="N295" t="str">
        <f>IF(K295&gt;0,COUNTIF($K$7:K295,"&gt;0"),"")</f>
      </c>
      <c r="P295" t="s">
        <v>897</v>
      </c>
    </row>
    <row r="296" spans="1:16" customHeight="1" ht="58">
      <c r="A296" s="16"/>
      <c r="B296" s="18" t="s">
        <v>898</v>
      </c>
      <c r="C296" s="17" t="s">
        <v>566</v>
      </c>
      <c r="D296" s="17" t="s">
        <v>901</v>
      </c>
      <c r="E296" s="17" t="s">
        <v>899</v>
      </c>
      <c r="F296" s="19"/>
      <c r="G296" s="20">
        <v>1.0</v>
      </c>
      <c r="H296" s="21">
        <v>990.0</v>
      </c>
      <c r="I296" s="21">
        <v>633.0</v>
      </c>
      <c r="J296" s="22">
        <v>21.0</v>
      </c>
      <c r="K296" s="50"/>
      <c r="L296" s="21" t="str">
        <f>IF(K296&gt;0,K296*I296,"")</f>
      </c>
      <c r="M296" s="52"/>
      <c r="N296" t="str">
        <f>IF(K296&gt;0,COUNTIF($K$7:K296,"&gt;0"),"")</f>
      </c>
      <c r="O296" t="s">
        <v>902</v>
      </c>
      <c r="P296" t="s">
        <v>900</v>
      </c>
    </row>
    <row r="297" spans="1:16" customHeight="1" ht="58">
      <c r="A297" s="16"/>
      <c r="B297" s="18" t="s">
        <v>898</v>
      </c>
      <c r="C297" s="17" t="s">
        <v>566</v>
      </c>
      <c r="D297" s="17" t="s">
        <v>567</v>
      </c>
      <c r="E297" s="17" t="s">
        <v>899</v>
      </c>
      <c r="F297" s="19"/>
      <c r="G297" s="20">
        <v>1.0</v>
      </c>
      <c r="H297" s="21">
        <v>990.0</v>
      </c>
      <c r="I297" s="21">
        <v>633.0</v>
      </c>
      <c r="J297" s="22">
        <v>2.0</v>
      </c>
      <c r="K297" s="50"/>
      <c r="L297" s="21" t="str">
        <f>IF(K297&gt;0,K297*I297,"")</f>
      </c>
      <c r="M297" s="52"/>
      <c r="N297" t="str">
        <f>IF(K297&gt;0,COUNTIF($K$7:K297,"&gt;0"),"")</f>
      </c>
      <c r="O297" t="s">
        <v>904</v>
      </c>
      <c r="P297" t="s">
        <v>903</v>
      </c>
    </row>
    <row r="298" spans="1:16" customHeight="1" ht="58">
      <c r="A298" s="16"/>
      <c r="B298" s="18" t="s">
        <v>906</v>
      </c>
      <c r="C298" s="17" t="s">
        <v>566</v>
      </c>
      <c r="D298" s="17" t="s">
        <v>567</v>
      </c>
      <c r="E298" s="17" t="s">
        <v>907</v>
      </c>
      <c r="F298" s="19"/>
      <c r="G298" s="20">
        <v>1.0</v>
      </c>
      <c r="H298" s="21">
        <v>814.0</v>
      </c>
      <c r="I298" s="21">
        <v>522.0</v>
      </c>
      <c r="J298" s="22">
        <v>3.0</v>
      </c>
      <c r="K298" s="50"/>
      <c r="L298" s="21" t="str">
        <f>IF(K298&gt;0,K298*I298,"")</f>
      </c>
      <c r="M298" s="52"/>
      <c r="N298" t="str">
        <f>IF(K298&gt;0,COUNTIF($K$7:K298,"&gt;0"),"")</f>
      </c>
      <c r="O298" t="s">
        <v>908</v>
      </c>
      <c r="P298" t="s">
        <v>905</v>
      </c>
    </row>
    <row r="299" spans="1:16" customHeight="1" ht="58">
      <c r="A299" s="16"/>
      <c r="B299" s="18" t="s">
        <v>906</v>
      </c>
      <c r="C299" s="17" t="s">
        <v>566</v>
      </c>
      <c r="D299" s="17" t="s">
        <v>901</v>
      </c>
      <c r="E299" s="17" t="s">
        <v>907</v>
      </c>
      <c r="F299" s="19"/>
      <c r="G299" s="20">
        <v>1.0</v>
      </c>
      <c r="H299" s="21">
        <v>814.0</v>
      </c>
      <c r="I299" s="21">
        <v>522.0</v>
      </c>
      <c r="J299" s="22">
        <v>57.0</v>
      </c>
      <c r="K299" s="50"/>
      <c r="L299" s="21" t="str">
        <f>IF(K299&gt;0,K299*I299,"")</f>
      </c>
      <c r="M299" s="52"/>
      <c r="N299" t="str">
        <f>IF(K299&gt;0,COUNTIF($K$7:K299,"&gt;0"),"")</f>
      </c>
      <c r="O299" t="s">
        <v>910</v>
      </c>
      <c r="P299" t="s">
        <v>909</v>
      </c>
    </row>
    <row r="300" spans="1:16" customHeight="1" ht="58">
      <c r="A300" s="16"/>
      <c r="B300" s="18" t="s">
        <v>912</v>
      </c>
      <c r="C300" s="17" t="s">
        <v>566</v>
      </c>
      <c r="D300" s="17" t="s">
        <v>913</v>
      </c>
      <c r="E300" s="17" t="s">
        <v>914</v>
      </c>
      <c r="F300" s="19" t="s">
        <v>915</v>
      </c>
      <c r="G300" s="20">
        <v>10.0</v>
      </c>
      <c r="H300" s="21">
        <v>561.0</v>
      </c>
      <c r="I300" s="21">
        <v>356.0</v>
      </c>
      <c r="J300" s="22">
        <v>1973.0</v>
      </c>
      <c r="K300" s="50"/>
      <c r="L300" s="21" t="str">
        <f>IF(K300&gt;0,K300*I300,"")</f>
      </c>
      <c r="M300" s="52"/>
      <c r="N300" t="str">
        <f>IF(K300&gt;0,COUNTIF($K$7:K300,"&gt;0"),"")</f>
      </c>
      <c r="O300" t="s">
        <v>916</v>
      </c>
      <c r="P300" t="s">
        <v>911</v>
      </c>
    </row>
    <row r="301" spans="1:16" customHeight="1" ht="58">
      <c r="A301" s="16"/>
      <c r="B301" s="18" t="s">
        <v>918</v>
      </c>
      <c r="C301" s="17" t="s">
        <v>566</v>
      </c>
      <c r="D301" s="17" t="s">
        <v>913</v>
      </c>
      <c r="E301" s="17" t="s">
        <v>919</v>
      </c>
      <c r="F301" s="19" t="s">
        <v>915</v>
      </c>
      <c r="G301" s="20">
        <v>10.0</v>
      </c>
      <c r="H301" s="21">
        <v>132.0</v>
      </c>
      <c r="I301" s="21">
        <v>79.0</v>
      </c>
      <c r="J301" s="22">
        <v>2270.0</v>
      </c>
      <c r="K301" s="50"/>
      <c r="L301" s="21" t="str">
        <f>IF(K301&gt;0,K301*I301,"")</f>
      </c>
      <c r="M301" s="52"/>
      <c r="N301" t="str">
        <f>IF(K301&gt;0,COUNTIF($K$7:K301,"&gt;0"),"")</f>
      </c>
      <c r="O301" t="s">
        <v>920</v>
      </c>
      <c r="P301" t="s">
        <v>917</v>
      </c>
    </row>
    <row r="302" spans="1:16" customHeight="1" ht="58">
      <c r="A302" s="16"/>
      <c r="B302" s="18" t="s">
        <v>922</v>
      </c>
      <c r="C302" s="17" t="s">
        <v>566</v>
      </c>
      <c r="D302" s="17" t="s">
        <v>923</v>
      </c>
      <c r="E302" s="17" t="s">
        <v>919</v>
      </c>
      <c r="F302" s="19"/>
      <c r="G302" s="20">
        <v>1.0</v>
      </c>
      <c r="H302" s="21">
        <v>220.0</v>
      </c>
      <c r="I302" s="21">
        <v>136.0</v>
      </c>
      <c r="J302" s="22">
        <v>2.0</v>
      </c>
      <c r="K302" s="50"/>
      <c r="L302" s="21" t="str">
        <f>IF(K302&gt;0,K302*I302,"")</f>
      </c>
      <c r="M302" s="52"/>
      <c r="N302" t="str">
        <f>IF(K302&gt;0,COUNTIF($K$7:K302,"&gt;0"),"")</f>
      </c>
      <c r="O302" t="s">
        <v>924</v>
      </c>
      <c r="P302" t="s">
        <v>921</v>
      </c>
    </row>
    <row r="303" spans="1:16" customHeight="1" ht="58">
      <c r="A303" s="16"/>
      <c r="B303" s="18" t="s">
        <v>922</v>
      </c>
      <c r="C303" s="17" t="s">
        <v>566</v>
      </c>
      <c r="D303" s="17" t="s">
        <v>282</v>
      </c>
      <c r="E303" s="17" t="s">
        <v>919</v>
      </c>
      <c r="F303" s="19"/>
      <c r="G303" s="20">
        <v>1.0</v>
      </c>
      <c r="H303" s="21">
        <v>220.0</v>
      </c>
      <c r="I303" s="21">
        <v>136.0</v>
      </c>
      <c r="J303" s="22">
        <v>56.0</v>
      </c>
      <c r="K303" s="50"/>
      <c r="L303" s="21" t="str">
        <f>IF(K303&gt;0,K303*I303,"")</f>
      </c>
      <c r="M303" s="52"/>
      <c r="N303" t="str">
        <f>IF(K303&gt;0,COUNTIF($K$7:K303,"&gt;0"),"")</f>
      </c>
      <c r="O303" t="s">
        <v>926</v>
      </c>
      <c r="P303" t="s">
        <v>925</v>
      </c>
    </row>
    <row r="304" spans="1:16" customHeight="1" ht="58">
      <c r="A304" s="16"/>
      <c r="B304" s="18" t="s">
        <v>922</v>
      </c>
      <c r="C304" s="17" t="s">
        <v>566</v>
      </c>
      <c r="D304" s="17" t="s">
        <v>928</v>
      </c>
      <c r="E304" s="17" t="s">
        <v>919</v>
      </c>
      <c r="F304" s="19"/>
      <c r="G304" s="20">
        <v>1.0</v>
      </c>
      <c r="H304" s="21">
        <v>220.0</v>
      </c>
      <c r="I304" s="21">
        <v>136.0</v>
      </c>
      <c r="J304" s="22">
        <v>332.0</v>
      </c>
      <c r="K304" s="50"/>
      <c r="L304" s="21" t="str">
        <f>IF(K304&gt;0,K304*I304,"")</f>
      </c>
      <c r="M304" s="52"/>
      <c r="N304" t="str">
        <f>IF(K304&gt;0,COUNTIF($K$7:K304,"&gt;0"),"")</f>
      </c>
      <c r="O304" t="s">
        <v>929</v>
      </c>
      <c r="P304" t="s">
        <v>927</v>
      </c>
    </row>
    <row r="305" spans="1:16" customHeight="1" ht="58">
      <c r="A305" s="16"/>
      <c r="B305" s="18" t="s">
        <v>922</v>
      </c>
      <c r="C305" s="17" t="s">
        <v>566</v>
      </c>
      <c r="D305" s="17" t="s">
        <v>931</v>
      </c>
      <c r="E305" s="17" t="s">
        <v>919</v>
      </c>
      <c r="F305" s="19"/>
      <c r="G305" s="20">
        <v>1.0</v>
      </c>
      <c r="H305" s="21">
        <v>220.0</v>
      </c>
      <c r="I305" s="21">
        <v>136.0</v>
      </c>
      <c r="J305" s="22">
        <v>178.0</v>
      </c>
      <c r="K305" s="50"/>
      <c r="L305" s="21" t="str">
        <f>IF(K305&gt;0,K305*I305,"")</f>
      </c>
      <c r="M305" s="52"/>
      <c r="N305" t="str">
        <f>IF(K305&gt;0,COUNTIF($K$7:K305,"&gt;0"),"")</f>
      </c>
      <c r="O305" t="s">
        <v>932</v>
      </c>
      <c r="P305" t="s">
        <v>930</v>
      </c>
    </row>
    <row r="306" spans="1:16" customHeight="1" ht="58">
      <c r="A306" s="16"/>
      <c r="B306" s="18" t="s">
        <v>922</v>
      </c>
      <c r="C306" s="17" t="s">
        <v>566</v>
      </c>
      <c r="D306" s="17" t="s">
        <v>889</v>
      </c>
      <c r="E306" s="17" t="s">
        <v>919</v>
      </c>
      <c r="F306" s="19"/>
      <c r="G306" s="20">
        <v>1.0</v>
      </c>
      <c r="H306" s="21">
        <v>220.0</v>
      </c>
      <c r="I306" s="21">
        <v>136.0</v>
      </c>
      <c r="J306" s="22">
        <v>18.0</v>
      </c>
      <c r="K306" s="50"/>
      <c r="L306" s="21" t="str">
        <f>IF(K306&gt;0,K306*I306,"")</f>
      </c>
      <c r="M306" s="52"/>
      <c r="N306" t="str">
        <f>IF(K306&gt;0,COUNTIF($K$7:K306,"&gt;0"),"")</f>
      </c>
      <c r="O306" t="s">
        <v>934</v>
      </c>
      <c r="P306" t="s">
        <v>933</v>
      </c>
    </row>
    <row r="307" spans="1:16" customHeight="1" ht="58">
      <c r="A307" s="16"/>
      <c r="B307" s="18" t="s">
        <v>922</v>
      </c>
      <c r="C307" s="17" t="s">
        <v>566</v>
      </c>
      <c r="D307" s="17" t="s">
        <v>342</v>
      </c>
      <c r="E307" s="17" t="s">
        <v>919</v>
      </c>
      <c r="F307" s="19"/>
      <c r="G307" s="20">
        <v>1.0</v>
      </c>
      <c r="H307" s="21">
        <v>220.0</v>
      </c>
      <c r="I307" s="21">
        <v>136.0</v>
      </c>
      <c r="J307" s="22">
        <v>134.0</v>
      </c>
      <c r="K307" s="50"/>
      <c r="L307" s="21" t="str">
        <f>IF(K307&gt;0,K307*I307,"")</f>
      </c>
      <c r="M307" s="52"/>
      <c r="N307" t="str">
        <f>IF(K307&gt;0,COUNTIF($K$7:K307,"&gt;0"),"")</f>
      </c>
      <c r="O307" t="s">
        <v>936</v>
      </c>
      <c r="P307" t="s">
        <v>935</v>
      </c>
    </row>
    <row r="308" spans="1:16" customHeight="1" ht="58">
      <c r="A308" s="16"/>
      <c r="B308" s="18" t="s">
        <v>922</v>
      </c>
      <c r="C308" s="17" t="s">
        <v>566</v>
      </c>
      <c r="D308" s="17" t="s">
        <v>938</v>
      </c>
      <c r="E308" s="17" t="s">
        <v>919</v>
      </c>
      <c r="F308" s="19"/>
      <c r="G308" s="20">
        <v>1.0</v>
      </c>
      <c r="H308" s="21">
        <v>220.0</v>
      </c>
      <c r="I308" s="21">
        <v>136.0</v>
      </c>
      <c r="J308" s="22">
        <v>2.0</v>
      </c>
      <c r="K308" s="50"/>
      <c r="L308" s="21" t="str">
        <f>IF(K308&gt;0,K308*I308,"")</f>
      </c>
      <c r="M308" s="52"/>
      <c r="N308" t="str">
        <f>IF(K308&gt;0,COUNTIF($K$7:K308,"&gt;0"),"")</f>
      </c>
      <c r="O308" t="s">
        <v>939</v>
      </c>
      <c r="P308" t="s">
        <v>937</v>
      </c>
    </row>
    <row r="309" spans="1:16" customHeight="1" ht="58">
      <c r="A309" s="16"/>
      <c r="B309" s="18" t="s">
        <v>922</v>
      </c>
      <c r="C309" s="17" t="s">
        <v>566</v>
      </c>
      <c r="D309" s="17" t="s">
        <v>339</v>
      </c>
      <c r="E309" s="17" t="s">
        <v>919</v>
      </c>
      <c r="F309" s="19"/>
      <c r="G309" s="20">
        <v>1.0</v>
      </c>
      <c r="H309" s="21">
        <v>220.0</v>
      </c>
      <c r="I309" s="21">
        <v>136.0</v>
      </c>
      <c r="J309" s="22">
        <v>72.0</v>
      </c>
      <c r="K309" s="50"/>
      <c r="L309" s="21" t="str">
        <f>IF(K309&gt;0,K309*I309,"")</f>
      </c>
      <c r="M309" s="52"/>
      <c r="N309" t="str">
        <f>IF(K309&gt;0,COUNTIF($K$7:K309,"&gt;0"),"")</f>
      </c>
      <c r="O309" t="s">
        <v>941</v>
      </c>
      <c r="P309" t="s">
        <v>940</v>
      </c>
    </row>
    <row r="310" spans="1:16" customHeight="1" ht="58">
      <c r="A310" s="16"/>
      <c r="B310" s="18" t="s">
        <v>922</v>
      </c>
      <c r="C310" s="17" t="s">
        <v>566</v>
      </c>
      <c r="D310" s="17" t="s">
        <v>943</v>
      </c>
      <c r="E310" s="17" t="s">
        <v>919</v>
      </c>
      <c r="F310" s="19"/>
      <c r="G310" s="20">
        <v>1.0</v>
      </c>
      <c r="H310" s="21">
        <v>220.0</v>
      </c>
      <c r="I310" s="21">
        <v>136.0</v>
      </c>
      <c r="J310" s="22">
        <v>145.0</v>
      </c>
      <c r="K310" s="50"/>
      <c r="L310" s="21" t="str">
        <f>IF(K310&gt;0,K310*I310,"")</f>
      </c>
      <c r="M310" s="52"/>
      <c r="N310" t="str">
        <f>IF(K310&gt;0,COUNTIF($K$7:K310,"&gt;0"),"")</f>
      </c>
      <c r="O310" t="s">
        <v>944</v>
      </c>
      <c r="P310" t="s">
        <v>942</v>
      </c>
    </row>
    <row r="311" spans="1:16" customHeight="1" ht="58">
      <c r="A311" s="16"/>
      <c r="B311" s="18" t="s">
        <v>922</v>
      </c>
      <c r="C311" s="17" t="s">
        <v>566</v>
      </c>
      <c r="D311" s="17" t="s">
        <v>946</v>
      </c>
      <c r="E311" s="17" t="s">
        <v>919</v>
      </c>
      <c r="F311" s="19"/>
      <c r="G311" s="20">
        <v>1.0</v>
      </c>
      <c r="H311" s="21">
        <v>220.0</v>
      </c>
      <c r="I311" s="21">
        <v>136.0</v>
      </c>
      <c r="J311" s="22">
        <v>1219.0</v>
      </c>
      <c r="K311" s="50"/>
      <c r="L311" s="21" t="str">
        <f>IF(K311&gt;0,K311*I311,"")</f>
      </c>
      <c r="M311" s="52"/>
      <c r="N311" t="str">
        <f>IF(K311&gt;0,COUNTIF($K$7:K311,"&gt;0"),"")</f>
      </c>
      <c r="O311" t="s">
        <v>947</v>
      </c>
      <c r="P311" t="s">
        <v>945</v>
      </c>
    </row>
    <row r="312" spans="1:16" customHeight="1" ht="58">
      <c r="A312" s="16"/>
      <c r="B312" s="18" t="s">
        <v>922</v>
      </c>
      <c r="C312" s="17" t="s">
        <v>566</v>
      </c>
      <c r="D312" s="17" t="s">
        <v>949</v>
      </c>
      <c r="E312" s="17" t="s">
        <v>919</v>
      </c>
      <c r="F312" s="19"/>
      <c r="G312" s="20">
        <v>1.0</v>
      </c>
      <c r="H312" s="21">
        <v>220.0</v>
      </c>
      <c r="I312" s="21">
        <v>136.0</v>
      </c>
      <c r="J312" s="22">
        <v>883.0</v>
      </c>
      <c r="K312" s="50"/>
      <c r="L312" s="21" t="str">
        <f>IF(K312&gt;0,K312*I312,"")</f>
      </c>
      <c r="M312" s="52"/>
      <c r="N312" t="str">
        <f>IF(K312&gt;0,COUNTIF($K$7:K312,"&gt;0"),"")</f>
      </c>
      <c r="O312" t="s">
        <v>950</v>
      </c>
      <c r="P312" t="s">
        <v>948</v>
      </c>
    </row>
    <row r="313" spans="1:16" customHeight="1" ht="58">
      <c r="A313" s="16"/>
      <c r="B313" s="18" t="s">
        <v>922</v>
      </c>
      <c r="C313" s="17" t="s">
        <v>566</v>
      </c>
      <c r="D313" s="17" t="s">
        <v>270</v>
      </c>
      <c r="E313" s="17" t="s">
        <v>919</v>
      </c>
      <c r="F313" s="19"/>
      <c r="G313" s="20">
        <v>1.0</v>
      </c>
      <c r="H313" s="21">
        <v>220.0</v>
      </c>
      <c r="I313" s="21">
        <v>136.0</v>
      </c>
      <c r="J313" s="22">
        <v>2.0</v>
      </c>
      <c r="K313" s="50"/>
      <c r="L313" s="21" t="str">
        <f>IF(K313&gt;0,K313*I313,"")</f>
      </c>
      <c r="M313" s="52"/>
      <c r="N313" t="str">
        <f>IF(K313&gt;0,COUNTIF($K$7:K313,"&gt;0"),"")</f>
      </c>
      <c r="O313" t="s">
        <v>952</v>
      </c>
      <c r="P313" t="s">
        <v>951</v>
      </c>
    </row>
    <row r="314" spans="1:16" customHeight="1" ht="58">
      <c r="A314" s="16"/>
      <c r="B314" s="18" t="s">
        <v>922</v>
      </c>
      <c r="C314" s="17" t="s">
        <v>566</v>
      </c>
      <c r="D314" s="17" t="s">
        <v>273</v>
      </c>
      <c r="E314" s="17" t="s">
        <v>919</v>
      </c>
      <c r="F314" s="19"/>
      <c r="G314" s="20">
        <v>1.0</v>
      </c>
      <c r="H314" s="21">
        <v>220.0</v>
      </c>
      <c r="I314" s="21">
        <v>136.0</v>
      </c>
      <c r="J314" s="22">
        <v>481.0</v>
      </c>
      <c r="K314" s="50"/>
      <c r="L314" s="21" t="str">
        <f>IF(K314&gt;0,K314*I314,"")</f>
      </c>
      <c r="M314" s="52"/>
      <c r="N314" t="str">
        <f>IF(K314&gt;0,COUNTIF($K$7:K314,"&gt;0"),"")</f>
      </c>
      <c r="O314" t="s">
        <v>954</v>
      </c>
      <c r="P314" t="s">
        <v>953</v>
      </c>
    </row>
    <row r="315" spans="1:16" customHeight="1" ht="58">
      <c r="A315" s="16"/>
      <c r="B315" s="18" t="s">
        <v>922</v>
      </c>
      <c r="C315" s="17" t="s">
        <v>566</v>
      </c>
      <c r="D315" s="17" t="s">
        <v>956</v>
      </c>
      <c r="E315" s="17" t="s">
        <v>919</v>
      </c>
      <c r="F315" s="19"/>
      <c r="G315" s="20">
        <v>1.0</v>
      </c>
      <c r="H315" s="21">
        <v>220.0</v>
      </c>
      <c r="I315" s="21">
        <v>136.0</v>
      </c>
      <c r="J315" s="22">
        <v>441.0</v>
      </c>
      <c r="K315" s="50"/>
      <c r="L315" s="21" t="str">
        <f>IF(K315&gt;0,K315*I315,"")</f>
      </c>
      <c r="M315" s="52"/>
      <c r="N315" t="str">
        <f>IF(K315&gt;0,COUNTIF($K$7:K315,"&gt;0"),"")</f>
      </c>
      <c r="O315" t="s">
        <v>957</v>
      </c>
      <c r="P315" t="s">
        <v>955</v>
      </c>
    </row>
    <row r="316" spans="1:16" customHeight="1" ht="58">
      <c r="A316" s="16"/>
      <c r="B316" s="18" t="s">
        <v>922</v>
      </c>
      <c r="C316" s="17" t="s">
        <v>566</v>
      </c>
      <c r="D316" s="17" t="s">
        <v>567</v>
      </c>
      <c r="E316" s="17" t="s">
        <v>919</v>
      </c>
      <c r="F316" s="19"/>
      <c r="G316" s="20">
        <v>1.0</v>
      </c>
      <c r="H316" s="21">
        <v>220.0</v>
      </c>
      <c r="I316" s="21">
        <v>136.0</v>
      </c>
      <c r="J316" s="22">
        <v>205.0</v>
      </c>
      <c r="K316" s="50"/>
      <c r="L316" s="21" t="str">
        <f>IF(K316&gt;0,K316*I316,"")</f>
      </c>
      <c r="M316" s="52"/>
      <c r="N316" t="str">
        <f>IF(K316&gt;0,COUNTIF($K$7:K316,"&gt;0"),"")</f>
      </c>
      <c r="O316" t="s">
        <v>959</v>
      </c>
      <c r="P316" t="s">
        <v>958</v>
      </c>
    </row>
    <row r="317" spans="1:16" customHeight="1" ht="58">
      <c r="A317" s="16"/>
      <c r="B317" s="18" t="s">
        <v>922</v>
      </c>
      <c r="C317" s="17" t="s">
        <v>566</v>
      </c>
      <c r="D317" s="17" t="s">
        <v>961</v>
      </c>
      <c r="E317" s="17" t="s">
        <v>919</v>
      </c>
      <c r="F317" s="19"/>
      <c r="G317" s="20">
        <v>1.0</v>
      </c>
      <c r="H317" s="21">
        <v>220.0</v>
      </c>
      <c r="I317" s="21">
        <v>136.0</v>
      </c>
      <c r="J317" s="22">
        <v>26.0</v>
      </c>
      <c r="K317" s="50"/>
      <c r="L317" s="21" t="str">
        <f>IF(K317&gt;0,K317*I317,"")</f>
      </c>
      <c r="M317" s="52"/>
      <c r="N317" t="str">
        <f>IF(K317&gt;0,COUNTIF($K$7:K317,"&gt;0"),"")</f>
      </c>
      <c r="O317" t="s">
        <v>962</v>
      </c>
      <c r="P317" t="s">
        <v>960</v>
      </c>
    </row>
    <row r="318" spans="1:16" customHeight="1" ht="58">
      <c r="A318" s="16"/>
      <c r="B318" s="18" t="s">
        <v>922</v>
      </c>
      <c r="C318" s="17" t="s">
        <v>566</v>
      </c>
      <c r="D318" s="17" t="s">
        <v>264</v>
      </c>
      <c r="E318" s="17" t="s">
        <v>919</v>
      </c>
      <c r="F318" s="19"/>
      <c r="G318" s="20">
        <v>1.0</v>
      </c>
      <c r="H318" s="21">
        <v>220.0</v>
      </c>
      <c r="I318" s="21">
        <v>136.0</v>
      </c>
      <c r="J318" s="22">
        <v>2765.0</v>
      </c>
      <c r="K318" s="50"/>
      <c r="L318" s="21" t="str">
        <f>IF(K318&gt;0,K318*I318,"")</f>
      </c>
      <c r="M318" s="52"/>
      <c r="N318" t="str">
        <f>IF(K318&gt;0,COUNTIF($K$7:K318,"&gt;0"),"")</f>
      </c>
      <c r="O318" t="s">
        <v>964</v>
      </c>
      <c r="P318" t="s">
        <v>963</v>
      </c>
    </row>
    <row r="319" spans="1:16" customHeight="1" ht="58">
      <c r="A319" s="16"/>
      <c r="B319" s="18" t="s">
        <v>966</v>
      </c>
      <c r="C319" s="17" t="s">
        <v>566</v>
      </c>
      <c r="D319" s="17" t="s">
        <v>273</v>
      </c>
      <c r="E319" s="17" t="s">
        <v>967</v>
      </c>
      <c r="F319" s="19"/>
      <c r="G319" s="20">
        <v>1.0</v>
      </c>
      <c r="H319" s="21">
        <v>407.0</v>
      </c>
      <c r="I319" s="21">
        <v>257.0</v>
      </c>
      <c r="J319" s="22">
        <v>8.0</v>
      </c>
      <c r="K319" s="50"/>
      <c r="L319" s="21" t="str">
        <f>IF(K319&gt;0,K319*I319,"")</f>
      </c>
      <c r="M319" s="52"/>
      <c r="N319" t="str">
        <f>IF(K319&gt;0,COUNTIF($K$7:K319,"&gt;0"),"")</f>
      </c>
      <c r="O319" t="s">
        <v>968</v>
      </c>
      <c r="P319" t="s">
        <v>965</v>
      </c>
    </row>
    <row r="320" spans="1:16" customHeight="1" ht="58">
      <c r="A320" s="16"/>
      <c r="B320" s="18" t="s">
        <v>966</v>
      </c>
      <c r="C320" s="17" t="s">
        <v>566</v>
      </c>
      <c r="D320" s="17" t="s">
        <v>970</v>
      </c>
      <c r="E320" s="17" t="s">
        <v>967</v>
      </c>
      <c r="F320" s="19"/>
      <c r="G320" s="20">
        <v>1.0</v>
      </c>
      <c r="H320" s="21">
        <v>407.0</v>
      </c>
      <c r="I320" s="21">
        <v>257.0</v>
      </c>
      <c r="J320" s="22">
        <v>72.0</v>
      </c>
      <c r="K320" s="50"/>
      <c r="L320" s="21" t="str">
        <f>IF(K320&gt;0,K320*I320,"")</f>
      </c>
      <c r="M320" s="52"/>
      <c r="N320" t="str">
        <f>IF(K320&gt;0,COUNTIF($K$7:K320,"&gt;0"),"")</f>
      </c>
      <c r="O320" t="s">
        <v>971</v>
      </c>
      <c r="P320" t="s">
        <v>969</v>
      </c>
    </row>
    <row r="321" spans="1:16" customHeight="1" ht="58">
      <c r="A321" s="16"/>
      <c r="B321" s="18" t="s">
        <v>966</v>
      </c>
      <c r="C321" s="17" t="s">
        <v>566</v>
      </c>
      <c r="D321" s="17" t="s">
        <v>567</v>
      </c>
      <c r="E321" s="17" t="s">
        <v>967</v>
      </c>
      <c r="F321" s="19"/>
      <c r="G321" s="20">
        <v>1.0</v>
      </c>
      <c r="H321" s="21">
        <v>407.0</v>
      </c>
      <c r="I321" s="21">
        <v>257.0</v>
      </c>
      <c r="J321" s="22">
        <v>11.0</v>
      </c>
      <c r="K321" s="50"/>
      <c r="L321" s="21" t="str">
        <f>IF(K321&gt;0,K321*I321,"")</f>
      </c>
      <c r="M321" s="52"/>
      <c r="N321" t="str">
        <f>IF(K321&gt;0,COUNTIF($K$7:K321,"&gt;0"),"")</f>
      </c>
      <c r="O321" t="s">
        <v>973</v>
      </c>
      <c r="P321" t="s">
        <v>972</v>
      </c>
    </row>
    <row r="322" spans="1:16" customHeight="1" ht="58">
      <c r="A322" s="16"/>
      <c r="B322" s="18" t="s">
        <v>966</v>
      </c>
      <c r="C322" s="17" t="s">
        <v>566</v>
      </c>
      <c r="D322" s="17" t="s">
        <v>264</v>
      </c>
      <c r="E322" s="17" t="s">
        <v>967</v>
      </c>
      <c r="F322" s="19"/>
      <c r="G322" s="20">
        <v>1.0</v>
      </c>
      <c r="H322" s="21">
        <v>407.0</v>
      </c>
      <c r="I322" s="21">
        <v>257.0</v>
      </c>
      <c r="J322" s="22">
        <v>468.0</v>
      </c>
      <c r="K322" s="50"/>
      <c r="L322" s="21" t="str">
        <f>IF(K322&gt;0,K322*I322,"")</f>
      </c>
      <c r="M322" s="52"/>
      <c r="N322" t="str">
        <f>IF(K322&gt;0,COUNTIF($K$7:K322,"&gt;0"),"")</f>
      </c>
      <c r="O322" t="s">
        <v>975</v>
      </c>
      <c r="P322" t="s">
        <v>974</v>
      </c>
    </row>
    <row r="323" spans="1:16" customHeight="1" ht="58">
      <c r="A323" s="16"/>
      <c r="B323" s="18" t="s">
        <v>966</v>
      </c>
      <c r="C323" s="17" t="s">
        <v>566</v>
      </c>
      <c r="D323" s="17" t="s">
        <v>342</v>
      </c>
      <c r="E323" s="17" t="s">
        <v>967</v>
      </c>
      <c r="F323" s="19"/>
      <c r="G323" s="20">
        <v>1.0</v>
      </c>
      <c r="H323" s="21">
        <v>407.0</v>
      </c>
      <c r="I323" s="21">
        <v>257.0</v>
      </c>
      <c r="J323" s="22">
        <v>426.0</v>
      </c>
      <c r="K323" s="50"/>
      <c r="L323" s="21" t="str">
        <f>IF(K323&gt;0,K323*I323,"")</f>
      </c>
      <c r="M323" s="52"/>
      <c r="N323" t="str">
        <f>IF(K323&gt;0,COUNTIF($K$7:K323,"&gt;0"),"")</f>
      </c>
      <c r="O323" t="s">
        <v>977</v>
      </c>
      <c r="P323" t="s">
        <v>976</v>
      </c>
    </row>
    <row r="324" spans="1:16" customHeight="1" ht="58">
      <c r="A324" s="16"/>
      <c r="B324" s="18" t="s">
        <v>966</v>
      </c>
      <c r="C324" s="17" t="s">
        <v>566</v>
      </c>
      <c r="D324" s="17" t="s">
        <v>901</v>
      </c>
      <c r="E324" s="17" t="s">
        <v>967</v>
      </c>
      <c r="F324" s="19"/>
      <c r="G324" s="20">
        <v>1.0</v>
      </c>
      <c r="H324" s="21">
        <v>407.0</v>
      </c>
      <c r="I324" s="21">
        <v>257.0</v>
      </c>
      <c r="J324" s="22">
        <v>417.0</v>
      </c>
      <c r="K324" s="50"/>
      <c r="L324" s="21" t="str">
        <f>IF(K324&gt;0,K324*I324,"")</f>
      </c>
      <c r="M324" s="52"/>
      <c r="N324" t="str">
        <f>IF(K324&gt;0,COUNTIF($K$7:K324,"&gt;0"),"")</f>
      </c>
      <c r="O324" t="s">
        <v>979</v>
      </c>
      <c r="P324" t="s">
        <v>978</v>
      </c>
    </row>
    <row r="325" spans="1:16" customHeight="1" ht="58">
      <c r="A325" s="16"/>
      <c r="B325" s="18" t="s">
        <v>966</v>
      </c>
      <c r="C325" s="17" t="s">
        <v>566</v>
      </c>
      <c r="D325" s="17" t="s">
        <v>267</v>
      </c>
      <c r="E325" s="17" t="s">
        <v>967</v>
      </c>
      <c r="F325" s="19"/>
      <c r="G325" s="20">
        <v>1.0</v>
      </c>
      <c r="H325" s="21">
        <v>407.0</v>
      </c>
      <c r="I325" s="21">
        <v>257.0</v>
      </c>
      <c r="J325" s="22">
        <v>92.0</v>
      </c>
      <c r="K325" s="50"/>
      <c r="L325" s="21" t="str">
        <f>IF(K325&gt;0,K325*I325,"")</f>
      </c>
      <c r="M325" s="52"/>
      <c r="N325" t="str">
        <f>IF(K325&gt;0,COUNTIF($K$7:K325,"&gt;0"),"")</f>
      </c>
      <c r="O325" t="s">
        <v>981</v>
      </c>
      <c r="P325" t="s">
        <v>980</v>
      </c>
    </row>
    <row r="326" spans="1:16" customHeight="1" ht="58">
      <c r="A326" s="16"/>
      <c r="B326" s="18" t="s">
        <v>983</v>
      </c>
      <c r="C326" s="17" t="s">
        <v>566</v>
      </c>
      <c r="D326" s="17" t="s">
        <v>913</v>
      </c>
      <c r="E326" s="17" t="s">
        <v>967</v>
      </c>
      <c r="F326" s="19" t="s">
        <v>915</v>
      </c>
      <c r="G326" s="20">
        <v>10.0</v>
      </c>
      <c r="H326" s="21">
        <v>231.0</v>
      </c>
      <c r="I326" s="21">
        <v>149.0</v>
      </c>
      <c r="J326" s="22">
        <v>3200.0</v>
      </c>
      <c r="K326" s="50"/>
      <c r="L326" s="21" t="str">
        <f>IF(K326&gt;0,K326*I326,"")</f>
      </c>
      <c r="M326" s="52"/>
      <c r="N326" t="str">
        <f>IF(K326&gt;0,COUNTIF($K$7:K326,"&gt;0"),"")</f>
      </c>
      <c r="O326" t="s">
        <v>984</v>
      </c>
      <c r="P326" t="s">
        <v>982</v>
      </c>
    </row>
    <row r="327" spans="1:16" customHeight="1" ht="58">
      <c r="A327" s="16"/>
      <c r="B327" s="18" t="s">
        <v>986</v>
      </c>
      <c r="C327" s="17" t="s">
        <v>566</v>
      </c>
      <c r="D327" s="17" t="s">
        <v>913</v>
      </c>
      <c r="E327" s="17" t="s">
        <v>987</v>
      </c>
      <c r="F327" s="19" t="s">
        <v>915</v>
      </c>
      <c r="G327" s="20">
        <v>10.0</v>
      </c>
      <c r="H327" s="21">
        <v>462.0</v>
      </c>
      <c r="I327" s="21">
        <v>297.0</v>
      </c>
      <c r="J327" s="22">
        <v>3360.0</v>
      </c>
      <c r="K327" s="50"/>
      <c r="L327" s="21" t="str">
        <f>IF(K327&gt;0,K327*I327,"")</f>
      </c>
      <c r="M327" s="52"/>
      <c r="N327" t="str">
        <f>IF(K327&gt;0,COUNTIF($K$7:K327,"&gt;0"),"")</f>
      </c>
      <c r="O327" t="s">
        <v>988</v>
      </c>
      <c r="P327" t="s">
        <v>985</v>
      </c>
    </row>
    <row r="328" spans="1:16" customHeight="1" ht="58">
      <c r="A328" s="16"/>
      <c r="B328" s="18" t="s">
        <v>990</v>
      </c>
      <c r="C328" s="17" t="s">
        <v>566</v>
      </c>
      <c r="D328" s="17" t="s">
        <v>139</v>
      </c>
      <c r="E328" s="17" t="s">
        <v>991</v>
      </c>
      <c r="F328" s="19"/>
      <c r="G328" s="20">
        <v>1.0</v>
      </c>
      <c r="H328" s="21">
        <v>363.0</v>
      </c>
      <c r="I328" s="21">
        <v>239.0</v>
      </c>
      <c r="J328" s="22">
        <v>21.0</v>
      </c>
      <c r="K328" s="50"/>
      <c r="L328" s="21" t="str">
        <f>IF(K328&gt;0,K328*I328,"")</f>
      </c>
      <c r="M328" s="52"/>
      <c r="N328" t="str">
        <f>IF(K328&gt;0,COUNTIF($K$7:K328,"&gt;0"),"")</f>
      </c>
      <c r="O328" t="s">
        <v>992</v>
      </c>
      <c r="P328" t="s">
        <v>989</v>
      </c>
    </row>
    <row r="329" spans="1:16" customHeight="1" ht="58">
      <c r="A329" s="16"/>
      <c r="B329" s="18" t="s">
        <v>990</v>
      </c>
      <c r="C329" s="17" t="s">
        <v>566</v>
      </c>
      <c r="D329" s="17" t="s">
        <v>994</v>
      </c>
      <c r="E329" s="17" t="s">
        <v>991</v>
      </c>
      <c r="F329" s="19"/>
      <c r="G329" s="20">
        <v>1.0</v>
      </c>
      <c r="H329" s="21">
        <v>363.0</v>
      </c>
      <c r="I329" s="21">
        <v>239.0</v>
      </c>
      <c r="J329" s="22">
        <v>17.0</v>
      </c>
      <c r="K329" s="50"/>
      <c r="L329" s="21" t="str">
        <f>IF(K329&gt;0,K329*I329,"")</f>
      </c>
      <c r="M329" s="52"/>
      <c r="N329" t="str">
        <f>IF(K329&gt;0,COUNTIF($K$7:K329,"&gt;0"),"")</f>
      </c>
      <c r="O329" t="s">
        <v>995</v>
      </c>
      <c r="P329" t="s">
        <v>993</v>
      </c>
    </row>
    <row r="330" spans="1:16" customHeight="1" ht="58">
      <c r="A330" s="16"/>
      <c r="B330" s="18" t="s">
        <v>997</v>
      </c>
      <c r="C330" s="17" t="s">
        <v>566</v>
      </c>
      <c r="D330" s="17" t="s">
        <v>761</v>
      </c>
      <c r="E330" s="17" t="s">
        <v>998</v>
      </c>
      <c r="F330" s="19"/>
      <c r="G330" s="20">
        <v>1.0</v>
      </c>
      <c r="H330" s="21">
        <v>363.0</v>
      </c>
      <c r="I330" s="21">
        <v>227.0</v>
      </c>
      <c r="J330" s="22">
        <v>26.0</v>
      </c>
      <c r="K330" s="50"/>
      <c r="L330" s="21" t="str">
        <f>IF(K330&gt;0,K330*I330,"")</f>
      </c>
      <c r="M330" s="52"/>
      <c r="N330" t="str">
        <f>IF(K330&gt;0,COUNTIF($K$7:K330,"&gt;0"),"")</f>
      </c>
      <c r="O330" t="s">
        <v>999</v>
      </c>
      <c r="P330" t="s">
        <v>996</v>
      </c>
    </row>
    <row r="331" spans="1:16" customHeight="1" ht="58">
      <c r="A331" s="16"/>
      <c r="B331" s="18" t="s">
        <v>997</v>
      </c>
      <c r="C331" s="17" t="s">
        <v>566</v>
      </c>
      <c r="D331" s="17" t="s">
        <v>1001</v>
      </c>
      <c r="E331" s="17" t="s">
        <v>998</v>
      </c>
      <c r="F331" s="19"/>
      <c r="G331" s="20">
        <v>1.0</v>
      </c>
      <c r="H331" s="21">
        <v>363.0</v>
      </c>
      <c r="I331" s="21">
        <v>227.0</v>
      </c>
      <c r="J331" s="22">
        <v>5.0</v>
      </c>
      <c r="K331" s="50"/>
      <c r="L331" s="21" t="str">
        <f>IF(K331&gt;0,K331*I331,"")</f>
      </c>
      <c r="M331" s="52"/>
      <c r="N331" t="str">
        <f>IF(K331&gt;0,COUNTIF($K$7:K331,"&gt;0"),"")</f>
      </c>
      <c r="O331" t="s">
        <v>1002</v>
      </c>
      <c r="P331" t="s">
        <v>1000</v>
      </c>
    </row>
    <row r="332" spans="1:16" customHeight="1" ht="58">
      <c r="A332" s="16"/>
      <c r="B332" s="18" t="s">
        <v>997</v>
      </c>
      <c r="C332" s="17" t="s">
        <v>566</v>
      </c>
      <c r="D332" s="17" t="s">
        <v>1004</v>
      </c>
      <c r="E332" s="17" t="s">
        <v>998</v>
      </c>
      <c r="F332" s="19"/>
      <c r="G332" s="20">
        <v>1.0</v>
      </c>
      <c r="H332" s="21">
        <v>363.0</v>
      </c>
      <c r="I332" s="21">
        <v>227.0</v>
      </c>
      <c r="J332" s="22">
        <v>1.0</v>
      </c>
      <c r="K332" s="50"/>
      <c r="L332" s="21" t="str">
        <f>IF(K332&gt;0,K332*I332,"")</f>
      </c>
      <c r="M332" s="52"/>
      <c r="N332" t="str">
        <f>IF(K332&gt;0,COUNTIF($K$7:K332,"&gt;0"),"")</f>
      </c>
      <c r="O332" t="s">
        <v>1005</v>
      </c>
      <c r="P332" t="s">
        <v>1003</v>
      </c>
    </row>
    <row r="333" spans="1:16" customHeight="1" ht="58">
      <c r="A333" s="16"/>
      <c r="B333" s="18" t="s">
        <v>997</v>
      </c>
      <c r="C333" s="17" t="s">
        <v>566</v>
      </c>
      <c r="D333" s="17" t="s">
        <v>1007</v>
      </c>
      <c r="E333" s="17" t="s">
        <v>998</v>
      </c>
      <c r="F333" s="19"/>
      <c r="G333" s="20">
        <v>1.0</v>
      </c>
      <c r="H333" s="21">
        <v>363.0</v>
      </c>
      <c r="I333" s="21">
        <v>227.0</v>
      </c>
      <c r="J333" s="22">
        <v>18.0</v>
      </c>
      <c r="K333" s="50"/>
      <c r="L333" s="21" t="str">
        <f>IF(K333&gt;0,K333*I333,"")</f>
      </c>
      <c r="M333" s="52"/>
      <c r="N333" t="str">
        <f>IF(K333&gt;0,COUNTIF($K$7:K333,"&gt;0"),"")</f>
      </c>
      <c r="O333" t="s">
        <v>1008</v>
      </c>
      <c r="P333" t="s">
        <v>1006</v>
      </c>
    </row>
    <row r="334" spans="1:16" customHeight="1" ht="58">
      <c r="A334" s="16"/>
      <c r="B334" s="18" t="s">
        <v>997</v>
      </c>
      <c r="C334" s="17" t="s">
        <v>566</v>
      </c>
      <c r="D334" s="17" t="s">
        <v>764</v>
      </c>
      <c r="E334" s="17" t="s">
        <v>998</v>
      </c>
      <c r="F334" s="19"/>
      <c r="G334" s="20">
        <v>1.0</v>
      </c>
      <c r="H334" s="21">
        <v>363.0</v>
      </c>
      <c r="I334" s="21">
        <v>227.0</v>
      </c>
      <c r="J334" s="22">
        <v>2.0</v>
      </c>
      <c r="K334" s="50"/>
      <c r="L334" s="21" t="str">
        <f>IF(K334&gt;0,K334*I334,"")</f>
      </c>
      <c r="M334" s="52"/>
      <c r="N334" t="str">
        <f>IF(K334&gt;0,COUNTIF($K$7:K334,"&gt;0"),"")</f>
      </c>
      <c r="O334" t="s">
        <v>1010</v>
      </c>
      <c r="P334" t="s">
        <v>1009</v>
      </c>
    </row>
    <row r="335" spans="1:16" customHeight="1" ht="58">
      <c r="A335" s="16"/>
      <c r="B335" s="18" t="s">
        <v>997</v>
      </c>
      <c r="C335" s="17" t="s">
        <v>566</v>
      </c>
      <c r="D335" s="17" t="s">
        <v>1012</v>
      </c>
      <c r="E335" s="17" t="s">
        <v>998</v>
      </c>
      <c r="F335" s="19"/>
      <c r="G335" s="20">
        <v>1.0</v>
      </c>
      <c r="H335" s="21">
        <v>363.0</v>
      </c>
      <c r="I335" s="21">
        <v>227.0</v>
      </c>
      <c r="J335" s="22">
        <v>26.0</v>
      </c>
      <c r="K335" s="50"/>
      <c r="L335" s="21" t="str">
        <f>IF(K335&gt;0,K335*I335,"")</f>
      </c>
      <c r="M335" s="52"/>
      <c r="N335" t="str">
        <f>IF(K335&gt;0,COUNTIF($K$7:K335,"&gt;0"),"")</f>
      </c>
      <c r="O335" t="s">
        <v>1013</v>
      </c>
      <c r="P335" t="s">
        <v>1011</v>
      </c>
    </row>
    <row r="336" spans="1:16" customHeight="1" ht="58">
      <c r="A336" s="16"/>
      <c r="B336" s="18" t="s">
        <v>997</v>
      </c>
      <c r="C336" s="17" t="s">
        <v>566</v>
      </c>
      <c r="D336" s="17" t="s">
        <v>356</v>
      </c>
      <c r="E336" s="17" t="s">
        <v>998</v>
      </c>
      <c r="F336" s="19"/>
      <c r="G336" s="20">
        <v>1.0</v>
      </c>
      <c r="H336" s="21">
        <v>363.0</v>
      </c>
      <c r="I336" s="21">
        <v>227.0</v>
      </c>
      <c r="J336" s="22">
        <v>1.0</v>
      </c>
      <c r="K336" s="50"/>
      <c r="L336" s="21" t="str">
        <f>IF(K336&gt;0,K336*I336,"")</f>
      </c>
      <c r="M336" s="52"/>
      <c r="N336" t="str">
        <f>IF(K336&gt;0,COUNTIF($K$7:K336,"&gt;0"),"")</f>
      </c>
      <c r="O336" t="s">
        <v>1015</v>
      </c>
      <c r="P336" t="s">
        <v>1014</v>
      </c>
    </row>
    <row r="337" spans="1:16" customHeight="1" ht="58">
      <c r="A337" s="16"/>
      <c r="B337" s="18" t="s">
        <v>1017</v>
      </c>
      <c r="C337" s="17" t="s">
        <v>566</v>
      </c>
      <c r="D337" s="17" t="s">
        <v>858</v>
      </c>
      <c r="E337" s="17" t="s">
        <v>1018</v>
      </c>
      <c r="F337" s="19"/>
      <c r="G337" s="20">
        <v>1.0</v>
      </c>
      <c r="H337" s="21">
        <v>473.0</v>
      </c>
      <c r="I337" s="21">
        <v>312.0</v>
      </c>
      <c r="J337" s="22">
        <v>1.0</v>
      </c>
      <c r="K337" s="50"/>
      <c r="L337" s="21" t="str">
        <f>IF(K337&gt;0,K337*I337,"")</f>
      </c>
      <c r="M337" s="52"/>
      <c r="N337" t="str">
        <f>IF(K337&gt;0,COUNTIF($K$7:K337,"&gt;0"),"")</f>
      </c>
      <c r="P337" t="s">
        <v>1016</v>
      </c>
    </row>
    <row r="338" spans="1:16" customHeight="1" ht="58">
      <c r="A338" s="16"/>
      <c r="B338" s="18" t="s">
        <v>1017</v>
      </c>
      <c r="C338" s="17" t="s">
        <v>566</v>
      </c>
      <c r="D338" s="17" t="s">
        <v>1020</v>
      </c>
      <c r="E338" s="17" t="s">
        <v>1018</v>
      </c>
      <c r="F338" s="19"/>
      <c r="G338" s="20">
        <v>1.0</v>
      </c>
      <c r="H338" s="21">
        <v>473.0</v>
      </c>
      <c r="I338" s="21">
        <v>312.0</v>
      </c>
      <c r="J338" s="22">
        <v>1.0</v>
      </c>
      <c r="K338" s="50"/>
      <c r="L338" s="21" t="str">
        <f>IF(K338&gt;0,K338*I338,"")</f>
      </c>
      <c r="M338" s="52"/>
      <c r="N338" t="str">
        <f>IF(K338&gt;0,COUNTIF($K$7:K338,"&gt;0"),"")</f>
      </c>
      <c r="P338" t="s">
        <v>1019</v>
      </c>
    </row>
    <row r="339" spans="1:16" customHeight="1" ht="58">
      <c r="A339" s="16"/>
      <c r="B339" s="18" t="s">
        <v>1022</v>
      </c>
      <c r="C339" s="17" t="s">
        <v>566</v>
      </c>
      <c r="D339" s="17" t="s">
        <v>858</v>
      </c>
      <c r="E339" s="17" t="s">
        <v>1023</v>
      </c>
      <c r="F339" s="19"/>
      <c r="G339" s="20">
        <v>1.0</v>
      </c>
      <c r="H339" s="21">
        <v>330.0</v>
      </c>
      <c r="I339" s="21">
        <v>204.0</v>
      </c>
      <c r="J339" s="22">
        <v>113.0</v>
      </c>
      <c r="K339" s="50"/>
      <c r="L339" s="21" t="str">
        <f>IF(K339&gt;0,K339*I339,"")</f>
      </c>
      <c r="M339" s="52"/>
      <c r="N339" t="str">
        <f>IF(K339&gt;0,COUNTIF($K$7:K339,"&gt;0"),"")</f>
      </c>
      <c r="O339" t="s">
        <v>1024</v>
      </c>
      <c r="P339" t="s">
        <v>1021</v>
      </c>
    </row>
    <row r="340" spans="1:16" customHeight="1" ht="58">
      <c r="A340" s="16"/>
      <c r="B340" s="18" t="s">
        <v>1022</v>
      </c>
      <c r="C340" s="17" t="s">
        <v>566</v>
      </c>
      <c r="D340" s="17" t="s">
        <v>764</v>
      </c>
      <c r="E340" s="17" t="s">
        <v>1023</v>
      </c>
      <c r="F340" s="19"/>
      <c r="G340" s="20">
        <v>1.0</v>
      </c>
      <c r="H340" s="21">
        <v>330.0</v>
      </c>
      <c r="I340" s="21">
        <v>204.0</v>
      </c>
      <c r="J340" s="22">
        <v>103.0</v>
      </c>
      <c r="K340" s="50"/>
      <c r="L340" s="21" t="str">
        <f>IF(K340&gt;0,K340*I340,"")</f>
      </c>
      <c r="M340" s="52"/>
      <c r="N340" t="str">
        <f>IF(K340&gt;0,COUNTIF($K$7:K340,"&gt;0"),"")</f>
      </c>
      <c r="O340" t="s">
        <v>1026</v>
      </c>
      <c r="P340" t="s">
        <v>1025</v>
      </c>
    </row>
    <row r="341" spans="1:16" customHeight="1" ht="58">
      <c r="A341" s="16"/>
      <c r="B341" s="18" t="s">
        <v>1022</v>
      </c>
      <c r="C341" s="17" t="s">
        <v>566</v>
      </c>
      <c r="D341" s="17" t="s">
        <v>1028</v>
      </c>
      <c r="E341" s="17" t="s">
        <v>1023</v>
      </c>
      <c r="F341" s="19"/>
      <c r="G341" s="20">
        <v>1.0</v>
      </c>
      <c r="H341" s="21">
        <v>330.0</v>
      </c>
      <c r="I341" s="21">
        <v>204.0</v>
      </c>
      <c r="J341" s="22">
        <v>53.0</v>
      </c>
      <c r="K341" s="50"/>
      <c r="L341" s="21" t="str">
        <f>IF(K341&gt;0,K341*I341,"")</f>
      </c>
      <c r="M341" s="52"/>
      <c r="N341" t="str">
        <f>IF(K341&gt;0,COUNTIF($K$7:K341,"&gt;0"),"")</f>
      </c>
      <c r="O341" t="s">
        <v>1029</v>
      </c>
      <c r="P341" t="s">
        <v>1027</v>
      </c>
    </row>
    <row r="342" spans="1:16" customHeight="1" ht="58">
      <c r="A342" s="16"/>
      <c r="B342" s="18" t="s">
        <v>1022</v>
      </c>
      <c r="C342" s="17" t="s">
        <v>566</v>
      </c>
      <c r="D342" s="17" t="s">
        <v>1031</v>
      </c>
      <c r="E342" s="17" t="s">
        <v>1023</v>
      </c>
      <c r="F342" s="19"/>
      <c r="G342" s="20">
        <v>1.0</v>
      </c>
      <c r="H342" s="21">
        <v>330.0</v>
      </c>
      <c r="I342" s="21">
        <v>204.0</v>
      </c>
      <c r="J342" s="22">
        <v>88.0</v>
      </c>
      <c r="K342" s="50"/>
      <c r="L342" s="21" t="str">
        <f>IF(K342&gt;0,K342*I342,"")</f>
      </c>
      <c r="M342" s="52"/>
      <c r="N342" t="str">
        <f>IF(K342&gt;0,COUNTIF($K$7:K342,"&gt;0"),"")</f>
      </c>
      <c r="O342" t="s">
        <v>1032</v>
      </c>
      <c r="P342" t="s">
        <v>1030</v>
      </c>
    </row>
    <row r="343" spans="1:16" customHeight="1" ht="58">
      <c r="A343" s="16"/>
      <c r="B343" s="18" t="s">
        <v>1034</v>
      </c>
      <c r="C343" s="17" t="s">
        <v>566</v>
      </c>
      <c r="D343" s="17" t="s">
        <v>1035</v>
      </c>
      <c r="E343" s="17" t="s">
        <v>1036</v>
      </c>
      <c r="F343" s="19"/>
      <c r="G343" s="20">
        <v>1.0</v>
      </c>
      <c r="H343" s="21">
        <v>264.0</v>
      </c>
      <c r="I343" s="21">
        <v>162.0</v>
      </c>
      <c r="J343" s="22">
        <v>399.0</v>
      </c>
      <c r="K343" s="50"/>
      <c r="L343" s="21" t="str">
        <f>IF(K343&gt;0,K343*I343,"")</f>
      </c>
      <c r="M343" s="52"/>
      <c r="N343" t="str">
        <f>IF(K343&gt;0,COUNTIF($K$7:K343,"&gt;0"),"")</f>
      </c>
      <c r="O343" t="s">
        <v>1037</v>
      </c>
      <c r="P343" t="s">
        <v>1033</v>
      </c>
    </row>
    <row r="344" spans="1:16" customHeight="1" ht="58">
      <c r="A344" s="16"/>
      <c r="B344" s="18" t="s">
        <v>1034</v>
      </c>
      <c r="C344" s="17" t="s">
        <v>566</v>
      </c>
      <c r="D344" s="17" t="s">
        <v>1039</v>
      </c>
      <c r="E344" s="17" t="s">
        <v>1036</v>
      </c>
      <c r="F344" s="19"/>
      <c r="G344" s="20">
        <v>1.0</v>
      </c>
      <c r="H344" s="21">
        <v>264.0</v>
      </c>
      <c r="I344" s="21">
        <v>162.0</v>
      </c>
      <c r="J344" s="22">
        <v>414.0</v>
      </c>
      <c r="K344" s="50"/>
      <c r="L344" s="21" t="str">
        <f>IF(K344&gt;0,K344*I344,"")</f>
      </c>
      <c r="M344" s="52"/>
      <c r="N344" t="str">
        <f>IF(K344&gt;0,COUNTIF($K$7:K344,"&gt;0"),"")</f>
      </c>
      <c r="O344" t="s">
        <v>1040</v>
      </c>
      <c r="P344" t="s">
        <v>1038</v>
      </c>
    </row>
    <row r="345" spans="1:16" customHeight="1" ht="58">
      <c r="A345" s="16"/>
      <c r="B345" s="18" t="s">
        <v>1034</v>
      </c>
      <c r="C345" s="17" t="s">
        <v>566</v>
      </c>
      <c r="D345" s="17" t="s">
        <v>1042</v>
      </c>
      <c r="E345" s="17" t="s">
        <v>1036</v>
      </c>
      <c r="F345" s="19"/>
      <c r="G345" s="20">
        <v>1.0</v>
      </c>
      <c r="H345" s="21">
        <v>264.0</v>
      </c>
      <c r="I345" s="21">
        <v>162.0</v>
      </c>
      <c r="J345" s="22">
        <v>196.0</v>
      </c>
      <c r="K345" s="50"/>
      <c r="L345" s="21" t="str">
        <f>IF(K345&gt;0,K345*I345,"")</f>
      </c>
      <c r="M345" s="52"/>
      <c r="N345" t="str">
        <f>IF(K345&gt;0,COUNTIF($K$7:K345,"&gt;0"),"")</f>
      </c>
      <c r="O345" t="s">
        <v>1043</v>
      </c>
      <c r="P345" t="s">
        <v>1041</v>
      </c>
    </row>
    <row r="346" spans="1:16" customHeight="1" ht="58">
      <c r="A346" s="16"/>
      <c r="B346" s="18" t="s">
        <v>1034</v>
      </c>
      <c r="C346" s="17" t="s">
        <v>566</v>
      </c>
      <c r="D346" s="17" t="s">
        <v>1001</v>
      </c>
      <c r="E346" s="17" t="s">
        <v>1036</v>
      </c>
      <c r="F346" s="19"/>
      <c r="G346" s="20">
        <v>1.0</v>
      </c>
      <c r="H346" s="21">
        <v>264.0</v>
      </c>
      <c r="I346" s="21">
        <v>162.0</v>
      </c>
      <c r="J346" s="22">
        <v>596.0</v>
      </c>
      <c r="K346" s="50"/>
      <c r="L346" s="21" t="str">
        <f>IF(K346&gt;0,K346*I346,"")</f>
      </c>
      <c r="M346" s="52"/>
      <c r="N346" t="str">
        <f>IF(K346&gt;0,COUNTIF($K$7:K346,"&gt;0"),"")</f>
      </c>
      <c r="O346" t="s">
        <v>1045</v>
      </c>
      <c r="P346" t="s">
        <v>1044</v>
      </c>
    </row>
    <row r="347" spans="1:16" customHeight="1" ht="58">
      <c r="A347" s="16"/>
      <c r="B347" s="18" t="s">
        <v>1034</v>
      </c>
      <c r="C347" s="17" t="s">
        <v>566</v>
      </c>
      <c r="D347" s="17" t="s">
        <v>1047</v>
      </c>
      <c r="E347" s="17" t="s">
        <v>1036</v>
      </c>
      <c r="F347" s="19"/>
      <c r="G347" s="20">
        <v>1.0</v>
      </c>
      <c r="H347" s="21">
        <v>264.0</v>
      </c>
      <c r="I347" s="21">
        <v>162.0</v>
      </c>
      <c r="J347" s="22">
        <v>736.0</v>
      </c>
      <c r="K347" s="50"/>
      <c r="L347" s="21" t="str">
        <f>IF(K347&gt;0,K347*I347,"")</f>
      </c>
      <c r="M347" s="52"/>
      <c r="N347" t="str">
        <f>IF(K347&gt;0,COUNTIF($K$7:K347,"&gt;0"),"")</f>
      </c>
      <c r="O347" t="s">
        <v>1048</v>
      </c>
      <c r="P347" t="s">
        <v>1046</v>
      </c>
    </row>
    <row r="348" spans="1:16" customHeight="1" ht="58">
      <c r="A348" s="16"/>
      <c r="B348" s="18" t="s">
        <v>1034</v>
      </c>
      <c r="C348" s="17" t="s">
        <v>566</v>
      </c>
      <c r="D348" s="17" t="s">
        <v>1050</v>
      </c>
      <c r="E348" s="17" t="s">
        <v>1036</v>
      </c>
      <c r="F348" s="19"/>
      <c r="G348" s="20">
        <v>1.0</v>
      </c>
      <c r="H348" s="21">
        <v>264.0</v>
      </c>
      <c r="I348" s="21">
        <v>162.0</v>
      </c>
      <c r="J348" s="22">
        <v>288.0</v>
      </c>
      <c r="K348" s="50"/>
      <c r="L348" s="21" t="str">
        <f>IF(K348&gt;0,K348*I348,"")</f>
      </c>
      <c r="M348" s="52"/>
      <c r="N348" t="str">
        <f>IF(K348&gt;0,COUNTIF($K$7:K348,"&gt;0"),"")</f>
      </c>
      <c r="O348" t="s">
        <v>1051</v>
      </c>
      <c r="P348" t="s">
        <v>1049</v>
      </c>
    </row>
    <row r="349" spans="1:16" customHeight="1" ht="58">
      <c r="A349" s="16"/>
      <c r="B349" s="18" t="s">
        <v>1034</v>
      </c>
      <c r="C349" s="17" t="s">
        <v>566</v>
      </c>
      <c r="D349" s="17" t="s">
        <v>1053</v>
      </c>
      <c r="E349" s="17" t="s">
        <v>1036</v>
      </c>
      <c r="F349" s="19"/>
      <c r="G349" s="20">
        <v>1.0</v>
      </c>
      <c r="H349" s="21">
        <v>264.0</v>
      </c>
      <c r="I349" s="21">
        <v>162.0</v>
      </c>
      <c r="J349" s="22">
        <v>660.0</v>
      </c>
      <c r="K349" s="50"/>
      <c r="L349" s="21" t="str">
        <f>IF(K349&gt;0,K349*I349,"")</f>
      </c>
      <c r="M349" s="52"/>
      <c r="N349" t="str">
        <f>IF(K349&gt;0,COUNTIF($K$7:K349,"&gt;0"),"")</f>
      </c>
      <c r="O349" t="s">
        <v>1054</v>
      </c>
      <c r="P349" t="s">
        <v>1052</v>
      </c>
    </row>
    <row r="350" spans="1:16" customHeight="1" ht="58">
      <c r="A350" s="16"/>
      <c r="B350" s="18" t="s">
        <v>1034</v>
      </c>
      <c r="C350" s="17" t="s">
        <v>566</v>
      </c>
      <c r="D350" s="17" t="s">
        <v>1056</v>
      </c>
      <c r="E350" s="17" t="s">
        <v>1036</v>
      </c>
      <c r="F350" s="19"/>
      <c r="G350" s="20">
        <v>1.0</v>
      </c>
      <c r="H350" s="21">
        <v>264.0</v>
      </c>
      <c r="I350" s="21">
        <v>162.0</v>
      </c>
      <c r="J350" s="22">
        <v>618.0</v>
      </c>
      <c r="K350" s="50"/>
      <c r="L350" s="21" t="str">
        <f>IF(K350&gt;0,K350*I350,"")</f>
      </c>
      <c r="M350" s="52"/>
      <c r="N350" t="str">
        <f>IF(K350&gt;0,COUNTIF($K$7:K350,"&gt;0"),"")</f>
      </c>
      <c r="O350" t="s">
        <v>1057</v>
      </c>
      <c r="P350" t="s">
        <v>1055</v>
      </c>
    </row>
    <row r="351" spans="1:16" customHeight="1" ht="58">
      <c r="A351" s="16"/>
      <c r="B351" s="18" t="s">
        <v>1034</v>
      </c>
      <c r="C351" s="17" t="s">
        <v>566</v>
      </c>
      <c r="D351" s="17" t="s">
        <v>1059</v>
      </c>
      <c r="E351" s="17" t="s">
        <v>1036</v>
      </c>
      <c r="F351" s="19"/>
      <c r="G351" s="20">
        <v>1.0</v>
      </c>
      <c r="H351" s="21">
        <v>264.0</v>
      </c>
      <c r="I351" s="21">
        <v>162.0</v>
      </c>
      <c r="J351" s="22">
        <v>150.0</v>
      </c>
      <c r="K351" s="50"/>
      <c r="L351" s="21" t="str">
        <f>IF(K351&gt;0,K351*I351,"")</f>
      </c>
      <c r="M351" s="52"/>
      <c r="N351" t="str">
        <f>IF(K351&gt;0,COUNTIF($K$7:K351,"&gt;0"),"")</f>
      </c>
      <c r="O351" t="s">
        <v>1060</v>
      </c>
      <c r="P351" t="s">
        <v>1058</v>
      </c>
    </row>
    <row r="352" spans="1:16" customHeight="1" ht="58">
      <c r="A352" s="16"/>
      <c r="B352" s="18" t="s">
        <v>1034</v>
      </c>
      <c r="C352" s="17" t="s">
        <v>566</v>
      </c>
      <c r="D352" s="17" t="s">
        <v>1062</v>
      </c>
      <c r="E352" s="17" t="s">
        <v>1036</v>
      </c>
      <c r="F352" s="19"/>
      <c r="G352" s="20">
        <v>1.0</v>
      </c>
      <c r="H352" s="21">
        <v>264.0</v>
      </c>
      <c r="I352" s="21">
        <v>162.0</v>
      </c>
      <c r="J352" s="22">
        <v>537.0</v>
      </c>
      <c r="K352" s="50"/>
      <c r="L352" s="21" t="str">
        <f>IF(K352&gt;0,K352*I352,"")</f>
      </c>
      <c r="M352" s="52"/>
      <c r="N352" t="str">
        <f>IF(K352&gt;0,COUNTIF($K$7:K352,"&gt;0"),"")</f>
      </c>
      <c r="O352" t="s">
        <v>1063</v>
      </c>
      <c r="P352" t="s">
        <v>1061</v>
      </c>
    </row>
    <row r="353" spans="1:16" customHeight="1" ht="58">
      <c r="A353" s="16"/>
      <c r="B353" s="18" t="s">
        <v>1034</v>
      </c>
      <c r="C353" s="17" t="s">
        <v>566</v>
      </c>
      <c r="D353" s="17" t="s">
        <v>1028</v>
      </c>
      <c r="E353" s="17" t="s">
        <v>1036</v>
      </c>
      <c r="F353" s="19"/>
      <c r="G353" s="20">
        <v>1.0</v>
      </c>
      <c r="H353" s="21">
        <v>264.0</v>
      </c>
      <c r="I353" s="21">
        <v>162.0</v>
      </c>
      <c r="J353" s="22">
        <v>98.0</v>
      </c>
      <c r="K353" s="50"/>
      <c r="L353" s="21" t="str">
        <f>IF(K353&gt;0,K353*I353,"")</f>
      </c>
      <c r="M353" s="52"/>
      <c r="N353" t="str">
        <f>IF(K353&gt;0,COUNTIF($K$7:K353,"&gt;0"),"")</f>
      </c>
      <c r="O353" t="s">
        <v>1065</v>
      </c>
      <c r="P353" t="s">
        <v>1064</v>
      </c>
    </row>
    <row r="354" spans="1:16" customHeight="1" ht="58">
      <c r="A354" s="16"/>
      <c r="B354" s="18" t="s">
        <v>1034</v>
      </c>
      <c r="C354" s="17" t="s">
        <v>566</v>
      </c>
      <c r="D354" s="17" t="s">
        <v>761</v>
      </c>
      <c r="E354" s="17" t="s">
        <v>1036</v>
      </c>
      <c r="F354" s="19"/>
      <c r="G354" s="20">
        <v>1.0</v>
      </c>
      <c r="H354" s="21">
        <v>264.0</v>
      </c>
      <c r="I354" s="21">
        <v>162.0</v>
      </c>
      <c r="J354" s="22">
        <v>29.0</v>
      </c>
      <c r="K354" s="50"/>
      <c r="L354" s="21" t="str">
        <f>IF(K354&gt;0,K354*I354,"")</f>
      </c>
      <c r="M354" s="52"/>
      <c r="N354" t="str">
        <f>IF(K354&gt;0,COUNTIF($K$7:K354,"&gt;0"),"")</f>
      </c>
      <c r="O354" t="s">
        <v>1067</v>
      </c>
      <c r="P354" t="s">
        <v>1066</v>
      </c>
    </row>
    <row r="355" spans="1:16" customHeight="1" ht="58">
      <c r="A355" s="16"/>
      <c r="B355" s="18" t="s">
        <v>1034</v>
      </c>
      <c r="C355" s="17" t="s">
        <v>566</v>
      </c>
      <c r="D355" s="17" t="s">
        <v>1069</v>
      </c>
      <c r="E355" s="17" t="s">
        <v>1036</v>
      </c>
      <c r="F355" s="19"/>
      <c r="G355" s="20">
        <v>1.0</v>
      </c>
      <c r="H355" s="21">
        <v>264.0</v>
      </c>
      <c r="I355" s="21">
        <v>162.0</v>
      </c>
      <c r="J355" s="22">
        <v>492.0</v>
      </c>
      <c r="K355" s="50"/>
      <c r="L355" s="21" t="str">
        <f>IF(K355&gt;0,K355*I355,"")</f>
      </c>
      <c r="M355" s="52"/>
      <c r="N355" t="str">
        <f>IF(K355&gt;0,COUNTIF($K$7:K355,"&gt;0"),"")</f>
      </c>
      <c r="O355" t="s">
        <v>1070</v>
      </c>
      <c r="P355" t="s">
        <v>1068</v>
      </c>
    </row>
    <row r="356" spans="1:16" customHeight="1" ht="58">
      <c r="A356" s="16"/>
      <c r="B356" s="18" t="s">
        <v>1034</v>
      </c>
      <c r="C356" s="17" t="s">
        <v>566</v>
      </c>
      <c r="D356" s="17" t="s">
        <v>1072</v>
      </c>
      <c r="E356" s="17" t="s">
        <v>1036</v>
      </c>
      <c r="F356" s="19"/>
      <c r="G356" s="20">
        <v>1.0</v>
      </c>
      <c r="H356" s="21">
        <v>264.0</v>
      </c>
      <c r="I356" s="21">
        <v>162.0</v>
      </c>
      <c r="J356" s="22">
        <v>1092.0</v>
      </c>
      <c r="K356" s="50"/>
      <c r="L356" s="21" t="str">
        <f>IF(K356&gt;0,K356*I356,"")</f>
      </c>
      <c r="M356" s="52"/>
      <c r="N356" t="str">
        <f>IF(K356&gt;0,COUNTIF($K$7:K356,"&gt;0"),"")</f>
      </c>
      <c r="O356" t="s">
        <v>1073</v>
      </c>
      <c r="P356" t="s">
        <v>1071</v>
      </c>
    </row>
    <row r="357" spans="1:16" customHeight="1" ht="58">
      <c r="A357" s="16"/>
      <c r="B357" s="18" t="s">
        <v>1034</v>
      </c>
      <c r="C357" s="17" t="s">
        <v>566</v>
      </c>
      <c r="D357" s="17" t="s">
        <v>1031</v>
      </c>
      <c r="E357" s="17" t="s">
        <v>1036</v>
      </c>
      <c r="F357" s="19"/>
      <c r="G357" s="20">
        <v>1.0</v>
      </c>
      <c r="H357" s="21">
        <v>264.0</v>
      </c>
      <c r="I357" s="21">
        <v>162.0</v>
      </c>
      <c r="J357" s="22">
        <v>420.0</v>
      </c>
      <c r="K357" s="50"/>
      <c r="L357" s="21" t="str">
        <f>IF(K357&gt;0,K357*I357,"")</f>
      </c>
      <c r="M357" s="52"/>
      <c r="N357" t="str">
        <f>IF(K357&gt;0,COUNTIF($K$7:K357,"&gt;0"),"")</f>
      </c>
      <c r="O357" t="s">
        <v>1075</v>
      </c>
      <c r="P357" t="s">
        <v>1074</v>
      </c>
    </row>
    <row r="358" spans="1:16" customHeight="1" ht="58">
      <c r="A358" s="16"/>
      <c r="B358" s="18" t="s">
        <v>1034</v>
      </c>
      <c r="C358" s="17" t="s">
        <v>566</v>
      </c>
      <c r="D358" s="17" t="s">
        <v>1077</v>
      </c>
      <c r="E358" s="17" t="s">
        <v>1036</v>
      </c>
      <c r="F358" s="19"/>
      <c r="G358" s="20">
        <v>1.0</v>
      </c>
      <c r="H358" s="21">
        <v>264.0</v>
      </c>
      <c r="I358" s="21">
        <v>162.0</v>
      </c>
      <c r="J358" s="22">
        <v>249.0</v>
      </c>
      <c r="K358" s="50"/>
      <c r="L358" s="21" t="str">
        <f>IF(K358&gt;0,K358*I358,"")</f>
      </c>
      <c r="M358" s="52"/>
      <c r="N358" t="str">
        <f>IF(K358&gt;0,COUNTIF($K$7:K358,"&gt;0"),"")</f>
      </c>
      <c r="O358" t="s">
        <v>1078</v>
      </c>
      <c r="P358" t="s">
        <v>1076</v>
      </c>
    </row>
    <row r="359" spans="1:16" customHeight="1" ht="58">
      <c r="A359" s="16"/>
      <c r="B359" s="18" t="s">
        <v>1034</v>
      </c>
      <c r="C359" s="17" t="s">
        <v>566</v>
      </c>
      <c r="D359" s="17" t="s">
        <v>1080</v>
      </c>
      <c r="E359" s="17" t="s">
        <v>1036</v>
      </c>
      <c r="F359" s="19"/>
      <c r="G359" s="20">
        <v>1.0</v>
      </c>
      <c r="H359" s="21">
        <v>264.0</v>
      </c>
      <c r="I359" s="21">
        <v>162.0</v>
      </c>
      <c r="J359" s="22">
        <v>527.0</v>
      </c>
      <c r="K359" s="50"/>
      <c r="L359" s="21" t="str">
        <f>IF(K359&gt;0,K359*I359,"")</f>
      </c>
      <c r="M359" s="52"/>
      <c r="N359" t="str">
        <f>IF(K359&gt;0,COUNTIF($K$7:K359,"&gt;0"),"")</f>
      </c>
      <c r="O359" t="s">
        <v>1081</v>
      </c>
      <c r="P359" t="s">
        <v>1079</v>
      </c>
    </row>
    <row r="360" spans="1:16" customHeight="1" ht="58">
      <c r="A360" s="16"/>
      <c r="B360" s="18" t="s">
        <v>1034</v>
      </c>
      <c r="C360" s="17" t="s">
        <v>566</v>
      </c>
      <c r="D360" s="17" t="s">
        <v>1083</v>
      </c>
      <c r="E360" s="17" t="s">
        <v>1036</v>
      </c>
      <c r="F360" s="19"/>
      <c r="G360" s="20">
        <v>1.0</v>
      </c>
      <c r="H360" s="21">
        <v>264.0</v>
      </c>
      <c r="I360" s="21">
        <v>162.0</v>
      </c>
      <c r="J360" s="22">
        <v>25.0</v>
      </c>
      <c r="K360" s="50"/>
      <c r="L360" s="21" t="str">
        <f>IF(K360&gt;0,K360*I360,"")</f>
      </c>
      <c r="M360" s="52"/>
      <c r="N360" t="str">
        <f>IF(K360&gt;0,COUNTIF($K$7:K360,"&gt;0"),"")</f>
      </c>
      <c r="O360" t="s">
        <v>1084</v>
      </c>
      <c r="P360" t="s">
        <v>1082</v>
      </c>
    </row>
    <row r="361" spans="1:16" customHeight="1" ht="58">
      <c r="A361" s="16"/>
      <c r="B361" s="18" t="s">
        <v>1034</v>
      </c>
      <c r="C361" s="17" t="s">
        <v>566</v>
      </c>
      <c r="D361" s="17" t="s">
        <v>144</v>
      </c>
      <c r="E361" s="17" t="s">
        <v>1036</v>
      </c>
      <c r="F361" s="19"/>
      <c r="G361" s="20">
        <v>1.0</v>
      </c>
      <c r="H361" s="21">
        <v>264.0</v>
      </c>
      <c r="I361" s="21">
        <v>162.0</v>
      </c>
      <c r="J361" s="22">
        <v>1604.0</v>
      </c>
      <c r="K361" s="50"/>
      <c r="L361" s="21" t="str">
        <f>IF(K361&gt;0,K361*I361,"")</f>
      </c>
      <c r="M361" s="52"/>
      <c r="N361" t="str">
        <f>IF(K361&gt;0,COUNTIF($K$7:K361,"&gt;0"),"")</f>
      </c>
      <c r="O361" t="s">
        <v>1086</v>
      </c>
      <c r="P361" t="s">
        <v>1085</v>
      </c>
    </row>
    <row r="362" spans="1:16" customHeight="1" ht="58">
      <c r="A362" s="16"/>
      <c r="B362" s="18" t="s">
        <v>1034</v>
      </c>
      <c r="C362" s="17" t="s">
        <v>566</v>
      </c>
      <c r="D362" s="17" t="s">
        <v>1088</v>
      </c>
      <c r="E362" s="17" t="s">
        <v>1036</v>
      </c>
      <c r="F362" s="19"/>
      <c r="G362" s="20">
        <v>1.0</v>
      </c>
      <c r="H362" s="21">
        <v>264.0</v>
      </c>
      <c r="I362" s="21">
        <v>162.0</v>
      </c>
      <c r="J362" s="22">
        <v>1283.0</v>
      </c>
      <c r="K362" s="50"/>
      <c r="L362" s="21" t="str">
        <f>IF(K362&gt;0,K362*I362,"")</f>
      </c>
      <c r="M362" s="52"/>
      <c r="N362" t="str">
        <f>IF(K362&gt;0,COUNTIF($K$7:K362,"&gt;0"),"")</f>
      </c>
      <c r="O362" t="s">
        <v>1089</v>
      </c>
      <c r="P362" t="s">
        <v>1087</v>
      </c>
    </row>
    <row r="363" spans="1:16" customHeight="1" ht="58">
      <c r="A363" s="16"/>
      <c r="B363" s="18" t="s">
        <v>1034</v>
      </c>
      <c r="C363" s="17" t="s">
        <v>566</v>
      </c>
      <c r="D363" s="17" t="s">
        <v>136</v>
      </c>
      <c r="E363" s="17" t="s">
        <v>1036</v>
      </c>
      <c r="F363" s="19"/>
      <c r="G363" s="20">
        <v>1.0</v>
      </c>
      <c r="H363" s="21">
        <v>264.0</v>
      </c>
      <c r="I363" s="21">
        <v>162.0</v>
      </c>
      <c r="J363" s="22">
        <v>811.0</v>
      </c>
      <c r="K363" s="50"/>
      <c r="L363" s="21" t="str">
        <f>IF(K363&gt;0,K363*I363,"")</f>
      </c>
      <c r="M363" s="52"/>
      <c r="N363" t="str">
        <f>IF(K363&gt;0,COUNTIF($K$7:K363,"&gt;0"),"")</f>
      </c>
      <c r="O363" t="s">
        <v>1091</v>
      </c>
      <c r="P363" t="s">
        <v>1090</v>
      </c>
    </row>
    <row r="364" spans="1:16" customHeight="1" ht="58">
      <c r="A364" s="16"/>
      <c r="B364" s="18" t="s">
        <v>1034</v>
      </c>
      <c r="C364" s="17" t="s">
        <v>566</v>
      </c>
      <c r="D364" s="17" t="s">
        <v>1093</v>
      </c>
      <c r="E364" s="17" t="s">
        <v>1036</v>
      </c>
      <c r="F364" s="19"/>
      <c r="G364" s="20">
        <v>1.0</v>
      </c>
      <c r="H364" s="21">
        <v>264.0</v>
      </c>
      <c r="I364" s="21">
        <v>162.0</v>
      </c>
      <c r="J364" s="22">
        <v>315.0</v>
      </c>
      <c r="K364" s="50"/>
      <c r="L364" s="21" t="str">
        <f>IF(K364&gt;0,K364*I364,"")</f>
      </c>
      <c r="M364" s="52"/>
      <c r="N364" t="str">
        <f>IF(K364&gt;0,COUNTIF($K$7:K364,"&gt;0"),"")</f>
      </c>
      <c r="O364" t="s">
        <v>1094</v>
      </c>
      <c r="P364" t="s">
        <v>1092</v>
      </c>
    </row>
    <row r="365" spans="1:16" customHeight="1" ht="58">
      <c r="A365" s="16"/>
      <c r="B365" s="18" t="s">
        <v>1034</v>
      </c>
      <c r="C365" s="17" t="s">
        <v>566</v>
      </c>
      <c r="D365" s="17" t="s">
        <v>1096</v>
      </c>
      <c r="E365" s="17" t="s">
        <v>1036</v>
      </c>
      <c r="F365" s="19"/>
      <c r="G365" s="20">
        <v>1.0</v>
      </c>
      <c r="H365" s="21">
        <v>264.0</v>
      </c>
      <c r="I365" s="21">
        <v>162.0</v>
      </c>
      <c r="J365" s="22">
        <v>881.0</v>
      </c>
      <c r="K365" s="50"/>
      <c r="L365" s="21" t="str">
        <f>IF(K365&gt;0,K365*I365,"")</f>
      </c>
      <c r="M365" s="52"/>
      <c r="N365" t="str">
        <f>IF(K365&gt;0,COUNTIF($K$7:K365,"&gt;0"),"")</f>
      </c>
      <c r="O365" t="s">
        <v>1097</v>
      </c>
      <c r="P365" t="s">
        <v>1095</v>
      </c>
    </row>
    <row r="366" spans="1:16" customHeight="1" ht="58">
      <c r="A366" s="16"/>
      <c r="B366" s="18" t="s">
        <v>1034</v>
      </c>
      <c r="C366" s="17" t="s">
        <v>566</v>
      </c>
      <c r="D366" s="17" t="s">
        <v>1099</v>
      </c>
      <c r="E366" s="17" t="s">
        <v>1036</v>
      </c>
      <c r="F366" s="19"/>
      <c r="G366" s="20">
        <v>1.0</v>
      </c>
      <c r="H366" s="21">
        <v>264.0</v>
      </c>
      <c r="I366" s="21">
        <v>162.0</v>
      </c>
      <c r="J366" s="22">
        <v>445.0</v>
      </c>
      <c r="K366" s="50"/>
      <c r="L366" s="21" t="str">
        <f>IF(K366&gt;0,K366*I366,"")</f>
      </c>
      <c r="M366" s="52"/>
      <c r="N366" t="str">
        <f>IF(K366&gt;0,COUNTIF($K$7:K366,"&gt;0"),"")</f>
      </c>
      <c r="O366" t="s">
        <v>1100</v>
      </c>
      <c r="P366" t="s">
        <v>1098</v>
      </c>
    </row>
    <row r="367" spans="1:16" customHeight="1" ht="58">
      <c r="A367" s="16"/>
      <c r="B367" s="18" t="s">
        <v>1034</v>
      </c>
      <c r="C367" s="17" t="s">
        <v>566</v>
      </c>
      <c r="D367" s="17" t="s">
        <v>1012</v>
      </c>
      <c r="E367" s="17" t="s">
        <v>1036</v>
      </c>
      <c r="F367" s="19"/>
      <c r="G367" s="20">
        <v>1.0</v>
      </c>
      <c r="H367" s="21">
        <v>264.0</v>
      </c>
      <c r="I367" s="21">
        <v>162.0</v>
      </c>
      <c r="J367" s="22">
        <v>362.0</v>
      </c>
      <c r="K367" s="50"/>
      <c r="L367" s="21" t="str">
        <f>IF(K367&gt;0,K367*I367,"")</f>
      </c>
      <c r="M367" s="52"/>
      <c r="N367" t="str">
        <f>IF(K367&gt;0,COUNTIF($K$7:K367,"&gt;0"),"")</f>
      </c>
      <c r="O367" t="s">
        <v>1102</v>
      </c>
      <c r="P367" t="s">
        <v>1101</v>
      </c>
    </row>
    <row r="368" spans="1:16" customHeight="1" ht="58">
      <c r="A368" s="16"/>
      <c r="B368" s="18" t="s">
        <v>1034</v>
      </c>
      <c r="C368" s="17" t="s">
        <v>566</v>
      </c>
      <c r="D368" s="17" t="s">
        <v>1104</v>
      </c>
      <c r="E368" s="17" t="s">
        <v>1036</v>
      </c>
      <c r="F368" s="19"/>
      <c r="G368" s="20">
        <v>1.0</v>
      </c>
      <c r="H368" s="21">
        <v>264.0</v>
      </c>
      <c r="I368" s="21">
        <v>162.0</v>
      </c>
      <c r="J368" s="22">
        <v>1326.0</v>
      </c>
      <c r="K368" s="50"/>
      <c r="L368" s="21" t="str">
        <f>IF(K368&gt;0,K368*I368,"")</f>
      </c>
      <c r="M368" s="52"/>
      <c r="N368" t="str">
        <f>IF(K368&gt;0,COUNTIF($K$7:K368,"&gt;0"),"")</f>
      </c>
      <c r="O368" t="s">
        <v>1105</v>
      </c>
      <c r="P368" t="s">
        <v>1103</v>
      </c>
    </row>
    <row r="369" spans="1:16" customHeight="1" ht="58">
      <c r="A369" s="16"/>
      <c r="B369" s="18" t="s">
        <v>1034</v>
      </c>
      <c r="C369" s="17" t="s">
        <v>566</v>
      </c>
      <c r="D369" s="17" t="s">
        <v>1007</v>
      </c>
      <c r="E369" s="17" t="s">
        <v>1036</v>
      </c>
      <c r="F369" s="19"/>
      <c r="G369" s="20">
        <v>1.0</v>
      </c>
      <c r="H369" s="21">
        <v>264.0</v>
      </c>
      <c r="I369" s="21">
        <v>162.0</v>
      </c>
      <c r="J369" s="22">
        <v>374.0</v>
      </c>
      <c r="K369" s="50"/>
      <c r="L369" s="21" t="str">
        <f>IF(K369&gt;0,K369*I369,"")</f>
      </c>
      <c r="M369" s="52"/>
      <c r="N369" t="str">
        <f>IF(K369&gt;0,COUNTIF($K$7:K369,"&gt;0"),"")</f>
      </c>
      <c r="O369" t="s">
        <v>1107</v>
      </c>
      <c r="P369" t="s">
        <v>1106</v>
      </c>
    </row>
    <row r="370" spans="1:16" customHeight="1" ht="58">
      <c r="A370" s="16"/>
      <c r="B370" s="18" t="s">
        <v>1034</v>
      </c>
      <c r="C370" s="17" t="s">
        <v>566</v>
      </c>
      <c r="D370" s="17" t="s">
        <v>1109</v>
      </c>
      <c r="E370" s="17" t="s">
        <v>1036</v>
      </c>
      <c r="F370" s="19"/>
      <c r="G370" s="20">
        <v>1.0</v>
      </c>
      <c r="H370" s="21">
        <v>264.0</v>
      </c>
      <c r="I370" s="21">
        <v>162.0</v>
      </c>
      <c r="J370" s="22">
        <v>96.0</v>
      </c>
      <c r="K370" s="50"/>
      <c r="L370" s="21" t="str">
        <f>IF(K370&gt;0,K370*I370,"")</f>
      </c>
      <c r="M370" s="52"/>
      <c r="N370" t="str">
        <f>IF(K370&gt;0,COUNTIF($K$7:K370,"&gt;0"),"")</f>
      </c>
      <c r="O370" t="s">
        <v>1110</v>
      </c>
      <c r="P370" t="s">
        <v>1108</v>
      </c>
    </row>
    <row r="371" spans="1:16" customHeight="1" ht="58">
      <c r="A371" s="16"/>
      <c r="B371" s="18" t="s">
        <v>1034</v>
      </c>
      <c r="C371" s="17" t="s">
        <v>566</v>
      </c>
      <c r="D371" s="17" t="s">
        <v>764</v>
      </c>
      <c r="E371" s="17" t="s">
        <v>1036</v>
      </c>
      <c r="F371" s="19"/>
      <c r="G371" s="20">
        <v>1.0</v>
      </c>
      <c r="H371" s="21">
        <v>264.0</v>
      </c>
      <c r="I371" s="21">
        <v>162.0</v>
      </c>
      <c r="J371" s="22">
        <v>156.0</v>
      </c>
      <c r="K371" s="50"/>
      <c r="L371" s="21" t="str">
        <f>IF(K371&gt;0,K371*I371,"")</f>
      </c>
      <c r="M371" s="52"/>
      <c r="N371" t="str">
        <f>IF(K371&gt;0,COUNTIF($K$7:K371,"&gt;0"),"")</f>
      </c>
      <c r="O371" t="s">
        <v>1112</v>
      </c>
      <c r="P371" t="s">
        <v>1111</v>
      </c>
    </row>
    <row r="372" spans="1:16" customHeight="1" ht="58">
      <c r="A372" s="16"/>
      <c r="B372" s="18" t="s">
        <v>1034</v>
      </c>
      <c r="C372" s="17" t="s">
        <v>566</v>
      </c>
      <c r="D372" s="17" t="s">
        <v>1020</v>
      </c>
      <c r="E372" s="17" t="s">
        <v>1036</v>
      </c>
      <c r="F372" s="19"/>
      <c r="G372" s="20">
        <v>1.0</v>
      </c>
      <c r="H372" s="21">
        <v>264.0</v>
      </c>
      <c r="I372" s="21">
        <v>162.0</v>
      </c>
      <c r="J372" s="22">
        <v>294.0</v>
      </c>
      <c r="K372" s="50"/>
      <c r="L372" s="21" t="str">
        <f>IF(K372&gt;0,K372*I372,"")</f>
      </c>
      <c r="M372" s="52"/>
      <c r="N372" t="str">
        <f>IF(K372&gt;0,COUNTIF($K$7:K372,"&gt;0"),"")</f>
      </c>
      <c r="O372" t="s">
        <v>1114</v>
      </c>
      <c r="P372" t="s">
        <v>1113</v>
      </c>
    </row>
    <row r="373" spans="1:16" customHeight="1" ht="58">
      <c r="A373" s="16"/>
      <c r="B373" s="18" t="s">
        <v>1034</v>
      </c>
      <c r="C373" s="17" t="s">
        <v>566</v>
      </c>
      <c r="D373" s="17" t="s">
        <v>994</v>
      </c>
      <c r="E373" s="17" t="s">
        <v>1036</v>
      </c>
      <c r="F373" s="19"/>
      <c r="G373" s="20">
        <v>1.0</v>
      </c>
      <c r="H373" s="21">
        <v>264.0</v>
      </c>
      <c r="I373" s="21">
        <v>162.0</v>
      </c>
      <c r="J373" s="22">
        <v>674.0</v>
      </c>
      <c r="K373" s="50"/>
      <c r="L373" s="21" t="str">
        <f>IF(K373&gt;0,K373*I373,"")</f>
      </c>
      <c r="M373" s="52"/>
      <c r="N373" t="str">
        <f>IF(K373&gt;0,COUNTIF($K$7:K373,"&gt;0"),"")</f>
      </c>
      <c r="O373" t="s">
        <v>1116</v>
      </c>
      <c r="P373" t="s">
        <v>1115</v>
      </c>
    </row>
    <row r="374" spans="1:16" customHeight="1" ht="58">
      <c r="A374" s="16"/>
      <c r="B374" s="18" t="s">
        <v>1034</v>
      </c>
      <c r="C374" s="17" t="s">
        <v>566</v>
      </c>
      <c r="D374" s="17" t="s">
        <v>1118</v>
      </c>
      <c r="E374" s="17" t="s">
        <v>1036</v>
      </c>
      <c r="F374" s="19"/>
      <c r="G374" s="20">
        <v>1.0</v>
      </c>
      <c r="H374" s="21">
        <v>264.0</v>
      </c>
      <c r="I374" s="21">
        <v>162.0</v>
      </c>
      <c r="J374" s="22">
        <v>4.0</v>
      </c>
      <c r="K374" s="50"/>
      <c r="L374" s="21" t="str">
        <f>IF(K374&gt;0,K374*I374,"")</f>
      </c>
      <c r="M374" s="52"/>
      <c r="N374" t="str">
        <f>IF(K374&gt;0,COUNTIF($K$7:K374,"&gt;0"),"")</f>
      </c>
      <c r="O374" t="s">
        <v>1119</v>
      </c>
      <c r="P374" t="s">
        <v>1117</v>
      </c>
    </row>
    <row r="375" spans="1:16" customHeight="1" ht="58">
      <c r="A375" s="16"/>
      <c r="B375" s="18" t="s">
        <v>1034</v>
      </c>
      <c r="C375" s="17" t="s">
        <v>566</v>
      </c>
      <c r="D375" s="17" t="s">
        <v>1121</v>
      </c>
      <c r="E375" s="17" t="s">
        <v>1036</v>
      </c>
      <c r="F375" s="19"/>
      <c r="G375" s="20">
        <v>1.0</v>
      </c>
      <c r="H375" s="21">
        <v>264.0</v>
      </c>
      <c r="I375" s="21">
        <v>162.0</v>
      </c>
      <c r="J375" s="22">
        <v>230.0</v>
      </c>
      <c r="K375" s="50"/>
      <c r="L375" s="21" t="str">
        <f>IF(K375&gt;0,K375*I375,"")</f>
      </c>
      <c r="M375" s="52"/>
      <c r="N375" t="str">
        <f>IF(K375&gt;0,COUNTIF($K$7:K375,"&gt;0"),"")</f>
      </c>
      <c r="O375" t="s">
        <v>1122</v>
      </c>
      <c r="P375" t="s">
        <v>1120</v>
      </c>
    </row>
    <row r="376" spans="1:16" customHeight="1" ht="58">
      <c r="A376" s="16"/>
      <c r="B376" s="18" t="s">
        <v>1034</v>
      </c>
      <c r="C376" s="17" t="s">
        <v>566</v>
      </c>
      <c r="D376" s="17" t="s">
        <v>139</v>
      </c>
      <c r="E376" s="17" t="s">
        <v>1036</v>
      </c>
      <c r="F376" s="19"/>
      <c r="G376" s="20">
        <v>1.0</v>
      </c>
      <c r="H376" s="21">
        <v>264.0</v>
      </c>
      <c r="I376" s="21">
        <v>162.0</v>
      </c>
      <c r="J376" s="22">
        <v>258.0</v>
      </c>
      <c r="K376" s="50"/>
      <c r="L376" s="21" t="str">
        <f>IF(K376&gt;0,K376*I376,"")</f>
      </c>
      <c r="M376" s="52"/>
      <c r="N376" t="str">
        <f>IF(K376&gt;0,COUNTIF($K$7:K376,"&gt;0"),"")</f>
      </c>
      <c r="O376" t="s">
        <v>1124</v>
      </c>
      <c r="P376" t="s">
        <v>1123</v>
      </c>
    </row>
    <row r="377" spans="1:16" customHeight="1" ht="58">
      <c r="A377" s="16"/>
      <c r="B377" s="18" t="s">
        <v>1034</v>
      </c>
      <c r="C377" s="17" t="s">
        <v>566</v>
      </c>
      <c r="D377" s="17" t="s">
        <v>1126</v>
      </c>
      <c r="E377" s="17" t="s">
        <v>1036</v>
      </c>
      <c r="F377" s="19"/>
      <c r="G377" s="20">
        <v>1.0</v>
      </c>
      <c r="H377" s="21">
        <v>264.0</v>
      </c>
      <c r="I377" s="21">
        <v>162.0</v>
      </c>
      <c r="J377" s="22">
        <v>676.0</v>
      </c>
      <c r="K377" s="50"/>
      <c r="L377" s="21" t="str">
        <f>IF(K377&gt;0,K377*I377,"")</f>
      </c>
      <c r="M377" s="52"/>
      <c r="N377" t="str">
        <f>IF(K377&gt;0,COUNTIF($K$7:K377,"&gt;0"),"")</f>
      </c>
      <c r="O377" t="s">
        <v>1127</v>
      </c>
      <c r="P377" t="s">
        <v>1125</v>
      </c>
    </row>
    <row r="378" spans="1:16" customHeight="1" ht="58">
      <c r="A378" s="16"/>
      <c r="B378" s="18" t="s">
        <v>1034</v>
      </c>
      <c r="C378" s="17" t="s">
        <v>566</v>
      </c>
      <c r="D378" s="17" t="s">
        <v>1004</v>
      </c>
      <c r="E378" s="17" t="s">
        <v>1036</v>
      </c>
      <c r="F378" s="19"/>
      <c r="G378" s="20">
        <v>1.0</v>
      </c>
      <c r="H378" s="21">
        <v>264.0</v>
      </c>
      <c r="I378" s="21">
        <v>162.0</v>
      </c>
      <c r="J378" s="22">
        <v>703.0</v>
      </c>
      <c r="K378" s="50"/>
      <c r="L378" s="21" t="str">
        <f>IF(K378&gt;0,K378*I378,"")</f>
      </c>
      <c r="M378" s="52"/>
      <c r="N378" t="str">
        <f>IF(K378&gt;0,COUNTIF($K$7:K378,"&gt;0"),"")</f>
      </c>
      <c r="O378" t="s">
        <v>1129</v>
      </c>
      <c r="P378" t="s">
        <v>1128</v>
      </c>
    </row>
    <row r="379" spans="1:16" customHeight="1" ht="58">
      <c r="A379" s="16"/>
      <c r="B379" s="18" t="s">
        <v>1034</v>
      </c>
      <c r="C379" s="17" t="s">
        <v>566</v>
      </c>
      <c r="D379" s="17" t="s">
        <v>1131</v>
      </c>
      <c r="E379" s="17" t="s">
        <v>1036</v>
      </c>
      <c r="F379" s="19"/>
      <c r="G379" s="20">
        <v>1.0</v>
      </c>
      <c r="H379" s="21">
        <v>264.0</v>
      </c>
      <c r="I379" s="21">
        <v>162.0</v>
      </c>
      <c r="J379" s="22">
        <v>402.0</v>
      </c>
      <c r="K379" s="50"/>
      <c r="L379" s="21" t="str">
        <f>IF(K379&gt;0,K379*I379,"")</f>
      </c>
      <c r="M379" s="52"/>
      <c r="N379" t="str">
        <f>IF(K379&gt;0,COUNTIF($K$7:K379,"&gt;0"),"")</f>
      </c>
      <c r="O379" t="s">
        <v>1132</v>
      </c>
      <c r="P379" t="s">
        <v>1130</v>
      </c>
    </row>
    <row r="380" spans="1:16" customHeight="1" ht="58">
      <c r="A380" s="16"/>
      <c r="B380" s="18" t="s">
        <v>1034</v>
      </c>
      <c r="C380" s="17" t="s">
        <v>566</v>
      </c>
      <c r="D380" s="17" t="s">
        <v>352</v>
      </c>
      <c r="E380" s="17" t="s">
        <v>1036</v>
      </c>
      <c r="F380" s="19"/>
      <c r="G380" s="20">
        <v>1.0</v>
      </c>
      <c r="H380" s="21">
        <v>264.0</v>
      </c>
      <c r="I380" s="21">
        <v>162.0</v>
      </c>
      <c r="J380" s="22">
        <v>393.0</v>
      </c>
      <c r="K380" s="50"/>
      <c r="L380" s="21" t="str">
        <f>IF(K380&gt;0,K380*I380,"")</f>
      </c>
      <c r="M380" s="52"/>
      <c r="N380" t="str">
        <f>IF(K380&gt;0,COUNTIF($K$7:K380,"&gt;0"),"")</f>
      </c>
      <c r="O380" t="s">
        <v>1134</v>
      </c>
      <c r="P380" t="s">
        <v>1133</v>
      </c>
    </row>
    <row r="381" spans="1:16" customHeight="1" ht="58">
      <c r="A381" s="16"/>
      <c r="B381" s="18" t="s">
        <v>1034</v>
      </c>
      <c r="C381" s="17" t="s">
        <v>566</v>
      </c>
      <c r="D381" s="17" t="s">
        <v>1136</v>
      </c>
      <c r="E381" s="17" t="s">
        <v>1036</v>
      </c>
      <c r="F381" s="19"/>
      <c r="G381" s="20">
        <v>1.0</v>
      </c>
      <c r="H381" s="21">
        <v>264.0</v>
      </c>
      <c r="I381" s="21">
        <v>162.0</v>
      </c>
      <c r="J381" s="22">
        <v>55.0</v>
      </c>
      <c r="K381" s="50"/>
      <c r="L381" s="21" t="str">
        <f>IF(K381&gt;0,K381*I381,"")</f>
      </c>
      <c r="M381" s="52"/>
      <c r="N381" t="str">
        <f>IF(K381&gt;0,COUNTIF($K$7:K381,"&gt;0"),"")</f>
      </c>
      <c r="O381" t="s">
        <v>1137</v>
      </c>
      <c r="P381" t="s">
        <v>1135</v>
      </c>
    </row>
    <row r="382" spans="1:16" customHeight="1" ht="58">
      <c r="A382" s="16"/>
      <c r="B382" s="18" t="s">
        <v>1034</v>
      </c>
      <c r="C382" s="17" t="s">
        <v>566</v>
      </c>
      <c r="D382" s="17" t="s">
        <v>858</v>
      </c>
      <c r="E382" s="17" t="s">
        <v>1036</v>
      </c>
      <c r="F382" s="19"/>
      <c r="G382" s="20">
        <v>1.0</v>
      </c>
      <c r="H382" s="21">
        <v>264.0</v>
      </c>
      <c r="I382" s="21">
        <v>162.0</v>
      </c>
      <c r="J382" s="22">
        <v>469.0</v>
      </c>
      <c r="K382" s="50"/>
      <c r="L382" s="21" t="str">
        <f>IF(K382&gt;0,K382*I382,"")</f>
      </c>
      <c r="M382" s="52"/>
      <c r="N382" t="str">
        <f>IF(K382&gt;0,COUNTIF($K$7:K382,"&gt;0"),"")</f>
      </c>
      <c r="O382" t="s">
        <v>1139</v>
      </c>
      <c r="P382" t="s">
        <v>1138</v>
      </c>
    </row>
    <row r="383" spans="1:16" customHeight="1" ht="58">
      <c r="A383" s="16"/>
      <c r="B383" s="18" t="s">
        <v>1034</v>
      </c>
      <c r="C383" s="17" t="s">
        <v>566</v>
      </c>
      <c r="D383" s="17" t="s">
        <v>1141</v>
      </c>
      <c r="E383" s="17" t="s">
        <v>1036</v>
      </c>
      <c r="F383" s="19"/>
      <c r="G383" s="20">
        <v>1.0</v>
      </c>
      <c r="H383" s="21">
        <v>264.0</v>
      </c>
      <c r="I383" s="21">
        <v>162.0</v>
      </c>
      <c r="J383" s="22">
        <v>852.0</v>
      </c>
      <c r="K383" s="50"/>
      <c r="L383" s="21" t="str">
        <f>IF(K383&gt;0,K383*I383,"")</f>
      </c>
      <c r="M383" s="52"/>
      <c r="N383" t="str">
        <f>IF(K383&gt;0,COUNTIF($K$7:K383,"&gt;0"),"")</f>
      </c>
      <c r="O383" t="s">
        <v>1142</v>
      </c>
      <c r="P383" t="s">
        <v>1140</v>
      </c>
    </row>
    <row r="384" spans="1:16" customHeight="1" ht="58">
      <c r="A384" s="16"/>
      <c r="B384" s="18" t="s">
        <v>1034</v>
      </c>
      <c r="C384" s="17" t="s">
        <v>566</v>
      </c>
      <c r="D384" s="17" t="s">
        <v>1144</v>
      </c>
      <c r="E384" s="17" t="s">
        <v>1036</v>
      </c>
      <c r="F384" s="19"/>
      <c r="G384" s="20">
        <v>1.0</v>
      </c>
      <c r="H384" s="21">
        <v>264.0</v>
      </c>
      <c r="I384" s="21">
        <v>162.0</v>
      </c>
      <c r="J384" s="22">
        <v>1078.0</v>
      </c>
      <c r="K384" s="50"/>
      <c r="L384" s="21" t="str">
        <f>IF(K384&gt;0,K384*I384,"")</f>
      </c>
      <c r="M384" s="52"/>
      <c r="N384" t="str">
        <f>IF(K384&gt;0,COUNTIF($K$7:K384,"&gt;0"),"")</f>
      </c>
      <c r="O384" t="s">
        <v>1145</v>
      </c>
      <c r="P384" t="s">
        <v>1143</v>
      </c>
    </row>
    <row r="385" spans="1:16" customHeight="1" ht="58">
      <c r="A385" s="16"/>
      <c r="B385" s="18" t="s">
        <v>1034</v>
      </c>
      <c r="C385" s="17" t="s">
        <v>566</v>
      </c>
      <c r="D385" s="17" t="s">
        <v>356</v>
      </c>
      <c r="E385" s="17" t="s">
        <v>1036</v>
      </c>
      <c r="F385" s="19"/>
      <c r="G385" s="20">
        <v>1.0</v>
      </c>
      <c r="H385" s="21">
        <v>264.0</v>
      </c>
      <c r="I385" s="21">
        <v>162.0</v>
      </c>
      <c r="J385" s="22">
        <v>7.0</v>
      </c>
      <c r="K385" s="50"/>
      <c r="L385" s="21" t="str">
        <f>IF(K385&gt;0,K385*I385,"")</f>
      </c>
      <c r="M385" s="52"/>
      <c r="N385" t="str">
        <f>IF(K385&gt;0,COUNTIF($K$7:K385,"&gt;0"),"")</f>
      </c>
      <c r="O385" t="s">
        <v>1147</v>
      </c>
      <c r="P385" t="s">
        <v>1146</v>
      </c>
    </row>
    <row r="386" spans="1:16" customHeight="1" ht="58">
      <c r="A386" s="16"/>
      <c r="B386" s="18" t="s">
        <v>1034</v>
      </c>
      <c r="C386" s="17" t="s">
        <v>566</v>
      </c>
      <c r="D386" s="17" t="s">
        <v>1149</v>
      </c>
      <c r="E386" s="17" t="s">
        <v>1036</v>
      </c>
      <c r="F386" s="19"/>
      <c r="G386" s="20">
        <v>1.0</v>
      </c>
      <c r="H386" s="21">
        <v>264.0</v>
      </c>
      <c r="I386" s="21">
        <v>162.0</v>
      </c>
      <c r="J386" s="22">
        <v>494.0</v>
      </c>
      <c r="K386" s="50"/>
      <c r="L386" s="21" t="str">
        <f>IF(K386&gt;0,K386*I386,"")</f>
      </c>
      <c r="M386" s="52"/>
      <c r="N386" t="str">
        <f>IF(K386&gt;0,COUNTIF($K$7:K386,"&gt;0"),"")</f>
      </c>
      <c r="O386" t="s">
        <v>1150</v>
      </c>
      <c r="P386" t="s">
        <v>1148</v>
      </c>
    </row>
    <row r="387" spans="1:16" customHeight="1" ht="58">
      <c r="A387" s="16"/>
      <c r="B387" s="18" t="s">
        <v>1034</v>
      </c>
      <c r="C387" s="17" t="s">
        <v>566</v>
      </c>
      <c r="D387" s="17" t="s">
        <v>1152</v>
      </c>
      <c r="E387" s="17" t="s">
        <v>1036</v>
      </c>
      <c r="F387" s="19"/>
      <c r="G387" s="20">
        <v>1.0</v>
      </c>
      <c r="H387" s="21">
        <v>264.0</v>
      </c>
      <c r="I387" s="21">
        <v>162.0</v>
      </c>
      <c r="J387" s="22">
        <v>2586.0</v>
      </c>
      <c r="K387" s="50"/>
      <c r="L387" s="21" t="str">
        <f>IF(K387&gt;0,K387*I387,"")</f>
      </c>
      <c r="M387" s="52"/>
      <c r="N387" t="str">
        <f>IF(K387&gt;0,COUNTIF($K$7:K387,"&gt;0"),"")</f>
      </c>
      <c r="O387" t="s">
        <v>1153</v>
      </c>
      <c r="P387" t="s">
        <v>1151</v>
      </c>
    </row>
    <row r="388" spans="1:16" customHeight="1" ht="58">
      <c r="A388" s="16"/>
      <c r="B388" s="18" t="s">
        <v>1034</v>
      </c>
      <c r="C388" s="17" t="s">
        <v>566</v>
      </c>
      <c r="D388" s="17" t="s">
        <v>1155</v>
      </c>
      <c r="E388" s="17" t="s">
        <v>1036</v>
      </c>
      <c r="F388" s="19"/>
      <c r="G388" s="20">
        <v>1.0</v>
      </c>
      <c r="H388" s="21">
        <v>264.0</v>
      </c>
      <c r="I388" s="21">
        <v>162.0</v>
      </c>
      <c r="J388" s="22">
        <v>591.0</v>
      </c>
      <c r="K388" s="50"/>
      <c r="L388" s="21" t="str">
        <f>IF(K388&gt;0,K388*I388,"")</f>
      </c>
      <c r="M388" s="52"/>
      <c r="N388" t="str">
        <f>IF(K388&gt;0,COUNTIF($K$7:K388,"&gt;0"),"")</f>
      </c>
      <c r="O388" t="s">
        <v>1156</v>
      </c>
      <c r="P388" t="s">
        <v>1154</v>
      </c>
    </row>
    <row r="389" spans="1:16" customHeight="1" ht="58">
      <c r="A389" s="16"/>
      <c r="B389" s="18" t="s">
        <v>1034</v>
      </c>
      <c r="C389" s="17" t="s">
        <v>566</v>
      </c>
      <c r="D389" s="17" t="s">
        <v>1158</v>
      </c>
      <c r="E389" s="17" t="s">
        <v>1036</v>
      </c>
      <c r="F389" s="19"/>
      <c r="G389" s="20">
        <v>1.0</v>
      </c>
      <c r="H389" s="21">
        <v>264.0</v>
      </c>
      <c r="I389" s="21">
        <v>162.0</v>
      </c>
      <c r="J389" s="22">
        <v>105.0</v>
      </c>
      <c r="K389" s="50"/>
      <c r="L389" s="21" t="str">
        <f>IF(K389&gt;0,K389*I389,"")</f>
      </c>
      <c r="M389" s="52"/>
      <c r="N389" t="str">
        <f>IF(K389&gt;0,COUNTIF($K$7:K389,"&gt;0"),"")</f>
      </c>
      <c r="O389" t="s">
        <v>1159</v>
      </c>
      <c r="P389" t="s">
        <v>1157</v>
      </c>
    </row>
    <row r="390" spans="1:16" customHeight="1" ht="58">
      <c r="A390" s="16"/>
      <c r="B390" s="18" t="s">
        <v>1034</v>
      </c>
      <c r="C390" s="17" t="s">
        <v>566</v>
      </c>
      <c r="D390" s="17" t="s">
        <v>1161</v>
      </c>
      <c r="E390" s="17" t="s">
        <v>1036</v>
      </c>
      <c r="F390" s="19"/>
      <c r="G390" s="20">
        <v>1.0</v>
      </c>
      <c r="H390" s="21">
        <v>264.0</v>
      </c>
      <c r="I390" s="21">
        <v>162.0</v>
      </c>
      <c r="J390" s="22">
        <v>336.0</v>
      </c>
      <c r="K390" s="50"/>
      <c r="L390" s="21" t="str">
        <f>IF(K390&gt;0,K390*I390,"")</f>
      </c>
      <c r="M390" s="52"/>
      <c r="N390" t="str">
        <f>IF(K390&gt;0,COUNTIF($K$7:K390,"&gt;0"),"")</f>
      </c>
      <c r="O390" t="s">
        <v>1162</v>
      </c>
      <c r="P390" t="s">
        <v>1160</v>
      </c>
    </row>
    <row r="391" spans="1:16" customHeight="1" ht="58">
      <c r="A391" s="16"/>
      <c r="B391" s="18" t="s">
        <v>1034</v>
      </c>
      <c r="C391" s="17" t="s">
        <v>566</v>
      </c>
      <c r="D391" s="17" t="s">
        <v>1164</v>
      </c>
      <c r="E391" s="17" t="s">
        <v>1036</v>
      </c>
      <c r="F391" s="19"/>
      <c r="G391" s="20">
        <v>1.0</v>
      </c>
      <c r="H391" s="21">
        <v>264.0</v>
      </c>
      <c r="I391" s="21">
        <v>162.0</v>
      </c>
      <c r="J391" s="22">
        <v>409.0</v>
      </c>
      <c r="K391" s="50"/>
      <c r="L391" s="21" t="str">
        <f>IF(K391&gt;0,K391*I391,"")</f>
      </c>
      <c r="M391" s="52"/>
      <c r="N391" t="str">
        <f>IF(K391&gt;0,COUNTIF($K$7:K391,"&gt;0"),"")</f>
      </c>
      <c r="O391" t="s">
        <v>1165</v>
      </c>
      <c r="P391" t="s">
        <v>1163</v>
      </c>
    </row>
    <row r="392" spans="1:16" customHeight="1" ht="58">
      <c r="A392" s="16"/>
      <c r="B392" s="18" t="s">
        <v>1034</v>
      </c>
      <c r="C392" s="17" t="s">
        <v>566</v>
      </c>
      <c r="D392" s="17" t="s">
        <v>1167</v>
      </c>
      <c r="E392" s="17" t="s">
        <v>1036</v>
      </c>
      <c r="F392" s="19"/>
      <c r="G392" s="20">
        <v>1.0</v>
      </c>
      <c r="H392" s="21">
        <v>264.0</v>
      </c>
      <c r="I392" s="21">
        <v>162.0</v>
      </c>
      <c r="J392" s="22">
        <v>348.0</v>
      </c>
      <c r="K392" s="50"/>
      <c r="L392" s="21" t="str">
        <f>IF(K392&gt;0,K392*I392,"")</f>
      </c>
      <c r="M392" s="52"/>
      <c r="N392" t="str">
        <f>IF(K392&gt;0,COUNTIF($K$7:K392,"&gt;0"),"")</f>
      </c>
      <c r="O392" t="s">
        <v>1168</v>
      </c>
      <c r="P392" t="s">
        <v>1166</v>
      </c>
    </row>
    <row r="393" spans="1:16" customHeight="1" ht="58">
      <c r="A393" s="16"/>
      <c r="B393" s="18" t="s">
        <v>1034</v>
      </c>
      <c r="C393" s="17" t="s">
        <v>566</v>
      </c>
      <c r="D393" s="17" t="s">
        <v>1170</v>
      </c>
      <c r="E393" s="17" t="s">
        <v>1036</v>
      </c>
      <c r="F393" s="19"/>
      <c r="G393" s="20">
        <v>1.0</v>
      </c>
      <c r="H393" s="21">
        <v>264.0</v>
      </c>
      <c r="I393" s="21">
        <v>162.0</v>
      </c>
      <c r="J393" s="22">
        <v>650.0</v>
      </c>
      <c r="K393" s="50"/>
      <c r="L393" s="21" t="str">
        <f>IF(K393&gt;0,K393*I393,"")</f>
      </c>
      <c r="M393" s="52"/>
      <c r="N393" t="str">
        <f>IF(K393&gt;0,COUNTIF($K$7:K393,"&gt;0"),"")</f>
      </c>
      <c r="O393" t="s">
        <v>1171</v>
      </c>
      <c r="P393" t="s">
        <v>1169</v>
      </c>
    </row>
    <row r="394" spans="1:16" customHeight="1" ht="58">
      <c r="A394" s="16"/>
      <c r="B394" s="18" t="s">
        <v>1034</v>
      </c>
      <c r="C394" s="17" t="s">
        <v>566</v>
      </c>
      <c r="D394" s="17" t="s">
        <v>1173</v>
      </c>
      <c r="E394" s="17" t="s">
        <v>1036</v>
      </c>
      <c r="F394" s="19"/>
      <c r="G394" s="20">
        <v>1.0</v>
      </c>
      <c r="H394" s="21">
        <v>264.0</v>
      </c>
      <c r="I394" s="21">
        <v>162.0</v>
      </c>
      <c r="J394" s="22">
        <v>40.0</v>
      </c>
      <c r="K394" s="50"/>
      <c r="L394" s="21" t="str">
        <f>IF(K394&gt;0,K394*I394,"")</f>
      </c>
      <c r="M394" s="52"/>
      <c r="N394" t="str">
        <f>IF(K394&gt;0,COUNTIF($K$7:K394,"&gt;0"),"")</f>
      </c>
      <c r="O394" t="s">
        <v>1174</v>
      </c>
      <c r="P394" t="s">
        <v>1172</v>
      </c>
    </row>
    <row r="395" spans="1:16" customHeight="1" ht="58">
      <c r="A395" s="16"/>
      <c r="B395" s="18" t="s">
        <v>1034</v>
      </c>
      <c r="C395" s="17" t="s">
        <v>566</v>
      </c>
      <c r="D395" s="17" t="s">
        <v>1176</v>
      </c>
      <c r="E395" s="17" t="s">
        <v>1036</v>
      </c>
      <c r="F395" s="19"/>
      <c r="G395" s="20">
        <v>1.0</v>
      </c>
      <c r="H395" s="21">
        <v>264.0</v>
      </c>
      <c r="I395" s="21">
        <v>162.0</v>
      </c>
      <c r="J395" s="22">
        <v>324.0</v>
      </c>
      <c r="K395" s="50"/>
      <c r="L395" s="21" t="str">
        <f>IF(K395&gt;0,K395*I395,"")</f>
      </c>
      <c r="M395" s="52"/>
      <c r="N395" t="str">
        <f>IF(K395&gt;0,COUNTIF($K$7:K395,"&gt;0"),"")</f>
      </c>
      <c r="O395" t="s">
        <v>1177</v>
      </c>
      <c r="P395" t="s">
        <v>1175</v>
      </c>
    </row>
    <row r="396" spans="1:16" customHeight="1" ht="58">
      <c r="A396" s="16"/>
      <c r="B396" s="18" t="s">
        <v>1034</v>
      </c>
      <c r="C396" s="17" t="s">
        <v>566</v>
      </c>
      <c r="D396" s="17" t="s">
        <v>1179</v>
      </c>
      <c r="E396" s="17" t="s">
        <v>1036</v>
      </c>
      <c r="F396" s="19"/>
      <c r="G396" s="20">
        <v>1.0</v>
      </c>
      <c r="H396" s="21">
        <v>264.0</v>
      </c>
      <c r="I396" s="21">
        <v>162.0</v>
      </c>
      <c r="J396" s="22">
        <v>293.0</v>
      </c>
      <c r="K396" s="50"/>
      <c r="L396" s="21" t="str">
        <f>IF(K396&gt;0,K396*I396,"")</f>
      </c>
      <c r="M396" s="52"/>
      <c r="N396" t="str">
        <f>IF(K396&gt;0,COUNTIF($K$7:K396,"&gt;0"),"")</f>
      </c>
      <c r="O396" t="s">
        <v>1180</v>
      </c>
      <c r="P396" t="s">
        <v>1178</v>
      </c>
    </row>
    <row r="397" spans="1:16" customHeight="1" ht="58">
      <c r="A397" s="16"/>
      <c r="B397" s="18" t="s">
        <v>1182</v>
      </c>
      <c r="C397" s="17" t="s">
        <v>566</v>
      </c>
      <c r="D397" s="17" t="s">
        <v>1099</v>
      </c>
      <c r="E397" s="17" t="s">
        <v>1183</v>
      </c>
      <c r="F397" s="19"/>
      <c r="G397" s="20">
        <v>1.0</v>
      </c>
      <c r="H397" s="21">
        <v>698.5</v>
      </c>
      <c r="I397" s="21">
        <v>436.0</v>
      </c>
      <c r="J397" s="22">
        <v>120.0</v>
      </c>
      <c r="K397" s="50"/>
      <c r="L397" s="21" t="str">
        <f>IF(K397&gt;0,K397*I397,"")</f>
      </c>
      <c r="M397" s="52"/>
      <c r="N397" t="str">
        <f>IF(K397&gt;0,COUNTIF($K$7:K397,"&gt;0"),"")</f>
      </c>
      <c r="O397" t="s">
        <v>1184</v>
      </c>
      <c r="P397" t="s">
        <v>1181</v>
      </c>
    </row>
    <row r="398" spans="1:16" customHeight="1" ht="58">
      <c r="A398" s="16"/>
      <c r="B398" s="18" t="s">
        <v>1182</v>
      </c>
      <c r="C398" s="17" t="s">
        <v>566</v>
      </c>
      <c r="D398" s="17" t="s">
        <v>144</v>
      </c>
      <c r="E398" s="17" t="s">
        <v>1183</v>
      </c>
      <c r="F398" s="19"/>
      <c r="G398" s="20">
        <v>1.0</v>
      </c>
      <c r="H398" s="21">
        <v>698.5</v>
      </c>
      <c r="I398" s="21">
        <v>436.0</v>
      </c>
      <c r="J398" s="22">
        <v>55.0</v>
      </c>
      <c r="K398" s="50"/>
      <c r="L398" s="21" t="str">
        <f>IF(K398&gt;0,K398*I398,"")</f>
      </c>
      <c r="M398" s="52"/>
      <c r="N398" t="str">
        <f>IF(K398&gt;0,COUNTIF($K$7:K398,"&gt;0"),"")</f>
      </c>
      <c r="O398" t="s">
        <v>1186</v>
      </c>
      <c r="P398" t="s">
        <v>1185</v>
      </c>
    </row>
    <row r="399" spans="1:16" customHeight="1" ht="58">
      <c r="A399" s="16"/>
      <c r="B399" s="18" t="s">
        <v>1182</v>
      </c>
      <c r="C399" s="17" t="s">
        <v>566</v>
      </c>
      <c r="D399" s="17" t="s">
        <v>1170</v>
      </c>
      <c r="E399" s="17" t="s">
        <v>1183</v>
      </c>
      <c r="F399" s="19"/>
      <c r="G399" s="20">
        <v>1.0</v>
      </c>
      <c r="H399" s="21">
        <v>698.5</v>
      </c>
      <c r="I399" s="21">
        <v>436.0</v>
      </c>
      <c r="J399" s="22">
        <v>44.0</v>
      </c>
      <c r="K399" s="50"/>
      <c r="L399" s="21" t="str">
        <f>IF(K399&gt;0,K399*I399,"")</f>
      </c>
      <c r="M399" s="52"/>
      <c r="N399" t="str">
        <f>IF(K399&gt;0,COUNTIF($K$7:K399,"&gt;0"),"")</f>
      </c>
      <c r="O399" t="s">
        <v>1188</v>
      </c>
      <c r="P399" t="s">
        <v>1187</v>
      </c>
    </row>
    <row r="400" spans="1:16" customHeight="1" ht="58">
      <c r="A400" s="16"/>
      <c r="B400" s="18" t="s">
        <v>1182</v>
      </c>
      <c r="C400" s="17" t="s">
        <v>566</v>
      </c>
      <c r="D400" s="17" t="s">
        <v>670</v>
      </c>
      <c r="E400" s="17" t="s">
        <v>1183</v>
      </c>
      <c r="F400" s="19"/>
      <c r="G400" s="20">
        <v>1.0</v>
      </c>
      <c r="H400" s="21">
        <v>698.5</v>
      </c>
      <c r="I400" s="21">
        <v>436.0</v>
      </c>
      <c r="J400" s="22">
        <v>15.0</v>
      </c>
      <c r="K400" s="50"/>
      <c r="L400" s="21" t="str">
        <f>IF(K400&gt;0,K400*I400,"")</f>
      </c>
      <c r="M400" s="52"/>
      <c r="N400" t="str">
        <f>IF(K400&gt;0,COUNTIF($K$7:K400,"&gt;0"),"")</f>
      </c>
      <c r="O400" t="s">
        <v>1190</v>
      </c>
      <c r="P400" t="s">
        <v>1189</v>
      </c>
    </row>
    <row r="401" spans="1:16" customHeight="1" ht="58">
      <c r="A401" s="16"/>
      <c r="B401" s="18" t="s">
        <v>1182</v>
      </c>
      <c r="C401" s="17" t="s">
        <v>566</v>
      </c>
      <c r="D401" s="17" t="s">
        <v>1192</v>
      </c>
      <c r="E401" s="17" t="s">
        <v>1183</v>
      </c>
      <c r="F401" s="19"/>
      <c r="G401" s="20">
        <v>1.0</v>
      </c>
      <c r="H401" s="21">
        <v>698.5</v>
      </c>
      <c r="I401" s="21">
        <v>436.0</v>
      </c>
      <c r="J401" s="22">
        <v>111.0</v>
      </c>
      <c r="K401" s="50"/>
      <c r="L401" s="21" t="str">
        <f>IF(K401&gt;0,K401*I401,"")</f>
      </c>
      <c r="M401" s="52"/>
      <c r="N401" t="str">
        <f>IF(K401&gt;0,COUNTIF($K$7:K401,"&gt;0"),"")</f>
      </c>
      <c r="O401" t="s">
        <v>1193</v>
      </c>
      <c r="P401" t="s">
        <v>1191</v>
      </c>
    </row>
    <row r="402" spans="1:16" customHeight="1" ht="58">
      <c r="A402" s="16"/>
      <c r="B402" s="18" t="s">
        <v>1182</v>
      </c>
      <c r="C402" s="17" t="s">
        <v>566</v>
      </c>
      <c r="D402" s="17" t="s">
        <v>1047</v>
      </c>
      <c r="E402" s="17" t="s">
        <v>1183</v>
      </c>
      <c r="F402" s="19"/>
      <c r="G402" s="20">
        <v>1.0</v>
      </c>
      <c r="H402" s="21">
        <v>698.5</v>
      </c>
      <c r="I402" s="21">
        <v>436.0</v>
      </c>
      <c r="J402" s="22">
        <v>111.0</v>
      </c>
      <c r="K402" s="50"/>
      <c r="L402" s="21" t="str">
        <f>IF(K402&gt;0,K402*I402,"")</f>
      </c>
      <c r="M402" s="52"/>
      <c r="N402" t="str">
        <f>IF(K402&gt;0,COUNTIF($K$7:K402,"&gt;0"),"")</f>
      </c>
      <c r="O402" t="s">
        <v>1195</v>
      </c>
      <c r="P402" t="s">
        <v>1194</v>
      </c>
    </row>
    <row r="403" spans="1:16" customHeight="1" ht="58">
      <c r="A403" s="16"/>
      <c r="B403" s="18" t="s">
        <v>1182</v>
      </c>
      <c r="C403" s="17" t="s">
        <v>566</v>
      </c>
      <c r="D403" s="17" t="s">
        <v>1077</v>
      </c>
      <c r="E403" s="17" t="s">
        <v>1183</v>
      </c>
      <c r="F403" s="19"/>
      <c r="G403" s="20">
        <v>1.0</v>
      </c>
      <c r="H403" s="21">
        <v>698.5</v>
      </c>
      <c r="I403" s="21">
        <v>436.0</v>
      </c>
      <c r="J403" s="22">
        <v>83.0</v>
      </c>
      <c r="K403" s="50"/>
      <c r="L403" s="21" t="str">
        <f>IF(K403&gt;0,K403*I403,"")</f>
      </c>
      <c r="M403" s="52"/>
      <c r="N403" t="str">
        <f>IF(K403&gt;0,COUNTIF($K$7:K403,"&gt;0"),"")</f>
      </c>
      <c r="O403" t="s">
        <v>1184</v>
      </c>
      <c r="P403" t="s">
        <v>1196</v>
      </c>
    </row>
    <row r="404" spans="1:16" customHeight="1" ht="58">
      <c r="A404" s="16"/>
      <c r="B404" s="18" t="s">
        <v>1182</v>
      </c>
      <c r="C404" s="17" t="s">
        <v>566</v>
      </c>
      <c r="D404" s="17" t="s">
        <v>1031</v>
      </c>
      <c r="E404" s="17" t="s">
        <v>1183</v>
      </c>
      <c r="F404" s="19"/>
      <c r="G404" s="20">
        <v>1.0</v>
      </c>
      <c r="H404" s="21">
        <v>698.5</v>
      </c>
      <c r="I404" s="21">
        <v>436.0</v>
      </c>
      <c r="J404" s="22">
        <v>120.0</v>
      </c>
      <c r="K404" s="50"/>
      <c r="L404" s="21" t="str">
        <f>IF(K404&gt;0,K404*I404,"")</f>
      </c>
      <c r="M404" s="52"/>
      <c r="N404" t="str">
        <f>IF(K404&gt;0,COUNTIF($K$7:K404,"&gt;0"),"")</f>
      </c>
      <c r="O404" t="s">
        <v>1184</v>
      </c>
      <c r="P404" t="s">
        <v>1197</v>
      </c>
    </row>
    <row r="405" spans="1:16" customHeight="1" ht="58">
      <c r="A405" s="16"/>
      <c r="B405" s="18" t="s">
        <v>1182</v>
      </c>
      <c r="C405" s="17" t="s">
        <v>566</v>
      </c>
      <c r="D405" s="17" t="s">
        <v>1167</v>
      </c>
      <c r="E405" s="17" t="s">
        <v>1183</v>
      </c>
      <c r="F405" s="19"/>
      <c r="G405" s="20">
        <v>1.0</v>
      </c>
      <c r="H405" s="21">
        <v>698.5</v>
      </c>
      <c r="I405" s="21">
        <v>436.0</v>
      </c>
      <c r="J405" s="22">
        <v>85.0</v>
      </c>
      <c r="K405" s="50"/>
      <c r="L405" s="21" t="str">
        <f>IF(K405&gt;0,K405*I405,"")</f>
      </c>
      <c r="M405" s="52"/>
      <c r="N405" t="str">
        <f>IF(K405&gt;0,COUNTIF($K$7:K405,"&gt;0"),"")</f>
      </c>
      <c r="O405" t="s">
        <v>1184</v>
      </c>
      <c r="P405" t="s">
        <v>1198</v>
      </c>
    </row>
    <row r="406" spans="1:16" customHeight="1" ht="58">
      <c r="A406" s="16"/>
      <c r="B406" s="18" t="s">
        <v>1182</v>
      </c>
      <c r="C406" s="17" t="s">
        <v>566</v>
      </c>
      <c r="D406" s="17" t="s">
        <v>1200</v>
      </c>
      <c r="E406" s="17" t="s">
        <v>1183</v>
      </c>
      <c r="F406" s="19"/>
      <c r="G406" s="20">
        <v>1.0</v>
      </c>
      <c r="H406" s="21">
        <v>698.5</v>
      </c>
      <c r="I406" s="21">
        <v>436.0</v>
      </c>
      <c r="J406" s="22">
        <v>58.0</v>
      </c>
      <c r="K406" s="50"/>
      <c r="L406" s="21" t="str">
        <f>IF(K406&gt;0,K406*I406,"")</f>
      </c>
      <c r="M406" s="52"/>
      <c r="N406" t="str">
        <f>IF(K406&gt;0,COUNTIF($K$7:K406,"&gt;0"),"")</f>
      </c>
      <c r="O406" t="s">
        <v>1184</v>
      </c>
      <c r="P406" t="s">
        <v>1199</v>
      </c>
    </row>
    <row r="407" spans="1:16" customHeight="1" ht="58">
      <c r="A407" s="16"/>
      <c r="B407" s="18" t="s">
        <v>1182</v>
      </c>
      <c r="C407" s="17" t="s">
        <v>566</v>
      </c>
      <c r="D407" s="17" t="s">
        <v>352</v>
      </c>
      <c r="E407" s="17" t="s">
        <v>1183</v>
      </c>
      <c r="F407" s="19"/>
      <c r="G407" s="20">
        <v>1.0</v>
      </c>
      <c r="H407" s="21">
        <v>698.5</v>
      </c>
      <c r="I407" s="21">
        <v>436.0</v>
      </c>
      <c r="J407" s="22">
        <v>31.0</v>
      </c>
      <c r="K407" s="50"/>
      <c r="L407" s="21" t="str">
        <f>IF(K407&gt;0,K407*I407,"")</f>
      </c>
      <c r="M407" s="52"/>
      <c r="N407" t="str">
        <f>IF(K407&gt;0,COUNTIF($K$7:K407,"&gt;0"),"")</f>
      </c>
      <c r="O407" t="s">
        <v>1184</v>
      </c>
      <c r="P407" t="s">
        <v>1201</v>
      </c>
    </row>
    <row r="408" spans="1:16" customHeight="1" ht="58">
      <c r="A408" s="16"/>
      <c r="B408" s="18" t="s">
        <v>1182</v>
      </c>
      <c r="C408" s="17" t="s">
        <v>566</v>
      </c>
      <c r="D408" s="17" t="s">
        <v>1203</v>
      </c>
      <c r="E408" s="17" t="s">
        <v>1183</v>
      </c>
      <c r="F408" s="19"/>
      <c r="G408" s="20">
        <v>1.0</v>
      </c>
      <c r="H408" s="21">
        <v>698.5</v>
      </c>
      <c r="I408" s="21">
        <v>436.0</v>
      </c>
      <c r="J408" s="22">
        <v>208.0</v>
      </c>
      <c r="K408" s="50"/>
      <c r="L408" s="21" t="str">
        <f>IF(K408&gt;0,K408*I408,"")</f>
      </c>
      <c r="M408" s="52"/>
      <c r="N408" t="str">
        <f>IF(K408&gt;0,COUNTIF($K$7:K408,"&gt;0"),"")</f>
      </c>
      <c r="O408" t="s">
        <v>1184</v>
      </c>
      <c r="P408" t="s">
        <v>1202</v>
      </c>
    </row>
    <row r="409" spans="1:16" customHeight="1" ht="58">
      <c r="A409" s="16"/>
      <c r="B409" s="18" t="s">
        <v>1182</v>
      </c>
      <c r="C409" s="17" t="s">
        <v>566</v>
      </c>
      <c r="D409" s="17" t="s">
        <v>1205</v>
      </c>
      <c r="E409" s="17" t="s">
        <v>1183</v>
      </c>
      <c r="F409" s="19"/>
      <c r="G409" s="20">
        <v>1.0</v>
      </c>
      <c r="H409" s="21">
        <v>698.5</v>
      </c>
      <c r="I409" s="21">
        <v>436.0</v>
      </c>
      <c r="J409" s="22">
        <v>54.0</v>
      </c>
      <c r="K409" s="50"/>
      <c r="L409" s="21" t="str">
        <f>IF(K409&gt;0,K409*I409,"")</f>
      </c>
      <c r="M409" s="52"/>
      <c r="N409" t="str">
        <f>IF(K409&gt;0,COUNTIF($K$7:K409,"&gt;0"),"")</f>
      </c>
      <c r="O409" t="s">
        <v>1184</v>
      </c>
      <c r="P409" t="s">
        <v>1204</v>
      </c>
    </row>
    <row r="410" spans="1:16" customHeight="1" ht="58">
      <c r="A410" s="16"/>
      <c r="B410" s="18" t="s">
        <v>1182</v>
      </c>
      <c r="C410" s="17" t="s">
        <v>566</v>
      </c>
      <c r="D410" s="17" t="s">
        <v>1093</v>
      </c>
      <c r="E410" s="17" t="s">
        <v>1183</v>
      </c>
      <c r="F410" s="19"/>
      <c r="G410" s="20">
        <v>1.0</v>
      </c>
      <c r="H410" s="21">
        <v>698.5</v>
      </c>
      <c r="I410" s="21">
        <v>436.0</v>
      </c>
      <c r="J410" s="22">
        <v>78.0</v>
      </c>
      <c r="K410" s="50"/>
      <c r="L410" s="21" t="str">
        <f>IF(K410&gt;0,K410*I410,"")</f>
      </c>
      <c r="M410" s="52"/>
      <c r="N410" t="str">
        <f>IF(K410&gt;0,COUNTIF($K$7:K410,"&gt;0"),"")</f>
      </c>
      <c r="O410" t="s">
        <v>1184</v>
      </c>
      <c r="P410" t="s">
        <v>1206</v>
      </c>
    </row>
    <row r="411" spans="1:16" customHeight="1" ht="58">
      <c r="A411" s="16"/>
      <c r="B411" s="18" t="s">
        <v>1182</v>
      </c>
      <c r="C411" s="17" t="s">
        <v>566</v>
      </c>
      <c r="D411" s="17" t="s">
        <v>1104</v>
      </c>
      <c r="E411" s="17" t="s">
        <v>1183</v>
      </c>
      <c r="F411" s="19"/>
      <c r="G411" s="20">
        <v>1.0</v>
      </c>
      <c r="H411" s="21">
        <v>698.5</v>
      </c>
      <c r="I411" s="21">
        <v>436.0</v>
      </c>
      <c r="J411" s="22">
        <v>99.0</v>
      </c>
      <c r="K411" s="50"/>
      <c r="L411" s="21" t="str">
        <f>IF(K411&gt;0,K411*I411,"")</f>
      </c>
      <c r="M411" s="52"/>
      <c r="N411" t="str">
        <f>IF(K411&gt;0,COUNTIF($K$7:K411,"&gt;0"),"")</f>
      </c>
      <c r="O411" t="s">
        <v>1208</v>
      </c>
      <c r="P411" t="s">
        <v>1207</v>
      </c>
    </row>
    <row r="412" spans="1:16" customHeight="1" ht="58">
      <c r="A412" s="16"/>
      <c r="B412" s="18" t="s">
        <v>1182</v>
      </c>
      <c r="C412" s="17" t="s">
        <v>566</v>
      </c>
      <c r="D412" s="17" t="s">
        <v>1088</v>
      </c>
      <c r="E412" s="17" t="s">
        <v>1183</v>
      </c>
      <c r="F412" s="19"/>
      <c r="G412" s="20">
        <v>1.0</v>
      </c>
      <c r="H412" s="21">
        <v>698.5</v>
      </c>
      <c r="I412" s="21">
        <v>436.0</v>
      </c>
      <c r="J412" s="22">
        <v>69.0</v>
      </c>
      <c r="K412" s="50"/>
      <c r="L412" s="21" t="str">
        <f>IF(K412&gt;0,K412*I412,"")</f>
      </c>
      <c r="M412" s="52"/>
      <c r="N412" t="str">
        <f>IF(K412&gt;0,COUNTIF($K$7:K412,"&gt;0"),"")</f>
      </c>
      <c r="O412" t="s">
        <v>1210</v>
      </c>
      <c r="P412" t="s">
        <v>1209</v>
      </c>
    </row>
    <row r="413" spans="1:16" customHeight="1" ht="58">
      <c r="A413" s="16"/>
      <c r="B413" s="18" t="s">
        <v>1182</v>
      </c>
      <c r="C413" s="17" t="s">
        <v>566</v>
      </c>
      <c r="D413" s="17" t="s">
        <v>136</v>
      </c>
      <c r="E413" s="17" t="s">
        <v>1183</v>
      </c>
      <c r="F413" s="19"/>
      <c r="G413" s="20">
        <v>1.0</v>
      </c>
      <c r="H413" s="21">
        <v>698.5</v>
      </c>
      <c r="I413" s="21">
        <v>436.0</v>
      </c>
      <c r="J413" s="22">
        <v>221.0</v>
      </c>
      <c r="K413" s="50"/>
      <c r="L413" s="21" t="str">
        <f>IF(K413&gt;0,K413*I413,"")</f>
      </c>
      <c r="M413" s="52"/>
      <c r="N413" t="str">
        <f>IF(K413&gt;0,COUNTIF($K$7:K413,"&gt;0"),"")</f>
      </c>
      <c r="O413" t="s">
        <v>1212</v>
      </c>
      <c r="P413" t="s">
        <v>1211</v>
      </c>
    </row>
    <row r="414" spans="1:16" customHeight="1" ht="58">
      <c r="A414" s="16"/>
      <c r="B414" s="18" t="s">
        <v>1182</v>
      </c>
      <c r="C414" s="17" t="s">
        <v>566</v>
      </c>
      <c r="D414" s="17" t="s">
        <v>1096</v>
      </c>
      <c r="E414" s="17" t="s">
        <v>1183</v>
      </c>
      <c r="F414" s="19"/>
      <c r="G414" s="20">
        <v>1.0</v>
      </c>
      <c r="H414" s="21">
        <v>698.5</v>
      </c>
      <c r="I414" s="21">
        <v>436.0</v>
      </c>
      <c r="J414" s="22">
        <v>87.0</v>
      </c>
      <c r="K414" s="50"/>
      <c r="L414" s="21" t="str">
        <f>IF(K414&gt;0,K414*I414,"")</f>
      </c>
      <c r="M414" s="52"/>
      <c r="N414" t="str">
        <f>IF(K414&gt;0,COUNTIF($K$7:K414,"&gt;0"),"")</f>
      </c>
      <c r="O414" t="s">
        <v>1214</v>
      </c>
      <c r="P414" t="s">
        <v>1213</v>
      </c>
    </row>
    <row r="415" spans="1:16" customHeight="1" ht="58">
      <c r="A415" s="16"/>
      <c r="B415" s="18" t="s">
        <v>1182</v>
      </c>
      <c r="C415" s="17" t="s">
        <v>566</v>
      </c>
      <c r="D415" s="17" t="s">
        <v>1039</v>
      </c>
      <c r="E415" s="17" t="s">
        <v>1183</v>
      </c>
      <c r="F415" s="19"/>
      <c r="G415" s="20">
        <v>1.0</v>
      </c>
      <c r="H415" s="21">
        <v>698.5</v>
      </c>
      <c r="I415" s="21">
        <v>436.0</v>
      </c>
      <c r="J415" s="22">
        <v>25.0</v>
      </c>
      <c r="K415" s="50"/>
      <c r="L415" s="21" t="str">
        <f>IF(K415&gt;0,K415*I415,"")</f>
      </c>
      <c r="M415" s="52"/>
      <c r="N415" t="str">
        <f>IF(K415&gt;0,COUNTIF($K$7:K415,"&gt;0"),"")</f>
      </c>
      <c r="O415" t="s">
        <v>1184</v>
      </c>
      <c r="P415" t="s">
        <v>1215</v>
      </c>
    </row>
    <row r="416" spans="1:16" customHeight="1" ht="58">
      <c r="A416" s="16"/>
      <c r="B416" s="18" t="s">
        <v>1217</v>
      </c>
      <c r="C416" s="17" t="s">
        <v>566</v>
      </c>
      <c r="D416" s="17" t="s">
        <v>1218</v>
      </c>
      <c r="E416" s="17" t="s">
        <v>1219</v>
      </c>
      <c r="F416" s="19"/>
      <c r="G416" s="20">
        <v>1.0</v>
      </c>
      <c r="H416" s="21">
        <v>324.5</v>
      </c>
      <c r="I416" s="21">
        <v>203.0</v>
      </c>
      <c r="J416" s="22">
        <v>12.0</v>
      </c>
      <c r="K416" s="50"/>
      <c r="L416" s="21" t="str">
        <f>IF(K416&gt;0,K416*I416,"")</f>
      </c>
      <c r="M416" s="52"/>
      <c r="N416" t="str">
        <f>IF(K416&gt;0,COUNTIF($K$7:K416,"&gt;0"),"")</f>
      </c>
      <c r="O416" t="s">
        <v>1220</v>
      </c>
      <c r="P416" t="s">
        <v>1216</v>
      </c>
    </row>
    <row r="417" spans="1:16" customHeight="1" ht="58">
      <c r="A417" s="16"/>
      <c r="B417" s="18" t="s">
        <v>1217</v>
      </c>
      <c r="C417" s="17" t="s">
        <v>566</v>
      </c>
      <c r="D417" s="17" t="s">
        <v>1222</v>
      </c>
      <c r="E417" s="17" t="s">
        <v>1219</v>
      </c>
      <c r="F417" s="19"/>
      <c r="G417" s="20">
        <v>1.0</v>
      </c>
      <c r="H417" s="21">
        <v>324.5</v>
      </c>
      <c r="I417" s="21">
        <v>203.0</v>
      </c>
      <c r="J417" s="22">
        <v>170.0</v>
      </c>
      <c r="K417" s="50"/>
      <c r="L417" s="21" t="str">
        <f>IF(K417&gt;0,K417*I417,"")</f>
      </c>
      <c r="M417" s="52"/>
      <c r="N417" t="str">
        <f>IF(K417&gt;0,COUNTIF($K$7:K417,"&gt;0"),"")</f>
      </c>
      <c r="O417" t="s">
        <v>1223</v>
      </c>
      <c r="P417" t="s">
        <v>1221</v>
      </c>
    </row>
    <row r="418" spans="1:16" customHeight="1" ht="58">
      <c r="A418" s="16"/>
      <c r="B418" s="18" t="s">
        <v>1217</v>
      </c>
      <c r="C418" s="17" t="s">
        <v>566</v>
      </c>
      <c r="D418" s="17" t="s">
        <v>1225</v>
      </c>
      <c r="E418" s="17" t="s">
        <v>1219</v>
      </c>
      <c r="F418" s="19"/>
      <c r="G418" s="20">
        <v>1.0</v>
      </c>
      <c r="H418" s="21">
        <v>324.5</v>
      </c>
      <c r="I418" s="21">
        <v>203.0</v>
      </c>
      <c r="J418" s="22">
        <v>15.0</v>
      </c>
      <c r="K418" s="50"/>
      <c r="L418" s="21" t="str">
        <f>IF(K418&gt;0,K418*I418,"")</f>
      </c>
      <c r="M418" s="52"/>
      <c r="N418" t="str">
        <f>IF(K418&gt;0,COUNTIF($K$7:K418,"&gt;0"),"")</f>
      </c>
      <c r="O418" t="s">
        <v>1226</v>
      </c>
      <c r="P418" t="s">
        <v>1224</v>
      </c>
    </row>
    <row r="419" spans="1:16" customHeight="1" ht="58">
      <c r="A419" s="16"/>
      <c r="B419" s="18" t="s">
        <v>1217</v>
      </c>
      <c r="C419" s="17" t="s">
        <v>566</v>
      </c>
      <c r="D419" s="17" t="s">
        <v>1228</v>
      </c>
      <c r="E419" s="17" t="s">
        <v>1219</v>
      </c>
      <c r="F419" s="19"/>
      <c r="G419" s="20">
        <v>1.0</v>
      </c>
      <c r="H419" s="21">
        <v>324.5</v>
      </c>
      <c r="I419" s="21">
        <v>203.0</v>
      </c>
      <c r="J419" s="22">
        <v>127.0</v>
      </c>
      <c r="K419" s="50"/>
      <c r="L419" s="21" t="str">
        <f>IF(K419&gt;0,K419*I419,"")</f>
      </c>
      <c r="M419" s="52"/>
      <c r="N419" t="str">
        <f>IF(K419&gt;0,COUNTIF($K$7:K419,"&gt;0"),"")</f>
      </c>
      <c r="O419" t="s">
        <v>1229</v>
      </c>
      <c r="P419" t="s">
        <v>1227</v>
      </c>
    </row>
    <row r="420" spans="1:16" customHeight="1" ht="58">
      <c r="A420" s="16"/>
      <c r="B420" s="18" t="s">
        <v>1217</v>
      </c>
      <c r="C420" s="17" t="s">
        <v>566</v>
      </c>
      <c r="D420" s="17" t="s">
        <v>1231</v>
      </c>
      <c r="E420" s="17" t="s">
        <v>1219</v>
      </c>
      <c r="F420" s="19"/>
      <c r="G420" s="20">
        <v>1.0</v>
      </c>
      <c r="H420" s="21">
        <v>324.5</v>
      </c>
      <c r="I420" s="21">
        <v>203.0</v>
      </c>
      <c r="J420" s="22">
        <v>94.0</v>
      </c>
      <c r="K420" s="50"/>
      <c r="L420" s="21" t="str">
        <f>IF(K420&gt;0,K420*I420,"")</f>
      </c>
      <c r="M420" s="52"/>
      <c r="N420" t="str">
        <f>IF(K420&gt;0,COUNTIF($K$7:K420,"&gt;0"),"")</f>
      </c>
      <c r="O420" t="s">
        <v>1232</v>
      </c>
      <c r="P420" t="s">
        <v>1230</v>
      </c>
    </row>
    <row r="421" spans="1:16" customHeight="1" ht="58">
      <c r="A421" s="16"/>
      <c r="B421" s="18" t="s">
        <v>1217</v>
      </c>
      <c r="C421" s="17" t="s">
        <v>566</v>
      </c>
      <c r="D421" s="17" t="s">
        <v>1234</v>
      </c>
      <c r="E421" s="17" t="s">
        <v>1219</v>
      </c>
      <c r="F421" s="19"/>
      <c r="G421" s="20">
        <v>1.0</v>
      </c>
      <c r="H421" s="21">
        <v>324.5</v>
      </c>
      <c r="I421" s="21">
        <v>203.0</v>
      </c>
      <c r="J421" s="22">
        <v>111.0</v>
      </c>
      <c r="K421" s="50"/>
      <c r="L421" s="21" t="str">
        <f>IF(K421&gt;0,K421*I421,"")</f>
      </c>
      <c r="M421" s="52"/>
      <c r="N421" t="str">
        <f>IF(K421&gt;0,COUNTIF($K$7:K421,"&gt;0"),"")</f>
      </c>
      <c r="O421" t="s">
        <v>1235</v>
      </c>
      <c r="P421" t="s">
        <v>1233</v>
      </c>
    </row>
    <row r="422" spans="1:16" customHeight="1" ht="58">
      <c r="A422" s="16"/>
      <c r="B422" s="18" t="s">
        <v>1217</v>
      </c>
      <c r="C422" s="17" t="s">
        <v>566</v>
      </c>
      <c r="D422" s="17" t="s">
        <v>1237</v>
      </c>
      <c r="E422" s="17" t="s">
        <v>1219</v>
      </c>
      <c r="F422" s="19"/>
      <c r="G422" s="20">
        <v>1.0</v>
      </c>
      <c r="H422" s="21">
        <v>324.5</v>
      </c>
      <c r="I422" s="21">
        <v>203.0</v>
      </c>
      <c r="J422" s="22">
        <v>79.0</v>
      </c>
      <c r="K422" s="50"/>
      <c r="L422" s="21" t="str">
        <f>IF(K422&gt;0,K422*I422,"")</f>
      </c>
      <c r="M422" s="52"/>
      <c r="N422" t="str">
        <f>IF(K422&gt;0,COUNTIF($K$7:K422,"&gt;0"),"")</f>
      </c>
      <c r="O422" t="s">
        <v>1238</v>
      </c>
      <c r="P422" t="s">
        <v>1236</v>
      </c>
    </row>
    <row r="423" spans="1:16" customHeight="1" ht="58">
      <c r="A423" s="16"/>
      <c r="B423" s="18" t="s">
        <v>1217</v>
      </c>
      <c r="C423" s="17" t="s">
        <v>566</v>
      </c>
      <c r="D423" s="17" t="s">
        <v>1240</v>
      </c>
      <c r="E423" s="17" t="s">
        <v>1219</v>
      </c>
      <c r="F423" s="19"/>
      <c r="G423" s="20">
        <v>1.0</v>
      </c>
      <c r="H423" s="21">
        <v>324.5</v>
      </c>
      <c r="I423" s="21">
        <v>203.0</v>
      </c>
      <c r="J423" s="22">
        <v>382.0</v>
      </c>
      <c r="K423" s="50"/>
      <c r="L423" s="21" t="str">
        <f>IF(K423&gt;0,K423*I423,"")</f>
      </c>
      <c r="M423" s="52"/>
      <c r="N423" t="str">
        <f>IF(K423&gt;0,COUNTIF($K$7:K423,"&gt;0"),"")</f>
      </c>
      <c r="O423" t="s">
        <v>1241</v>
      </c>
      <c r="P423" t="s">
        <v>1239</v>
      </c>
    </row>
    <row r="424" spans="1:16" customHeight="1" ht="58">
      <c r="A424" s="16"/>
      <c r="B424" s="18" t="s">
        <v>1217</v>
      </c>
      <c r="C424" s="17" t="s">
        <v>566</v>
      </c>
      <c r="D424" s="17" t="s">
        <v>1243</v>
      </c>
      <c r="E424" s="17" t="s">
        <v>1219</v>
      </c>
      <c r="F424" s="19"/>
      <c r="G424" s="20">
        <v>1.0</v>
      </c>
      <c r="H424" s="21">
        <v>324.5</v>
      </c>
      <c r="I424" s="21">
        <v>203.0</v>
      </c>
      <c r="J424" s="22">
        <v>42.0</v>
      </c>
      <c r="K424" s="50"/>
      <c r="L424" s="21" t="str">
        <f>IF(K424&gt;0,K424*I424,"")</f>
      </c>
      <c r="M424" s="52"/>
      <c r="N424" t="str">
        <f>IF(K424&gt;0,COUNTIF($K$7:K424,"&gt;0"),"")</f>
      </c>
      <c r="O424" t="s">
        <v>1244</v>
      </c>
      <c r="P424" t="s">
        <v>1242</v>
      </c>
    </row>
    <row r="425" spans="1:16" customHeight="1" ht="58">
      <c r="A425" s="16"/>
      <c r="B425" s="18" t="s">
        <v>1217</v>
      </c>
      <c r="C425" s="17" t="s">
        <v>566</v>
      </c>
      <c r="D425" s="17" t="s">
        <v>1246</v>
      </c>
      <c r="E425" s="17" t="s">
        <v>1219</v>
      </c>
      <c r="F425" s="19"/>
      <c r="G425" s="20">
        <v>1.0</v>
      </c>
      <c r="H425" s="21">
        <v>324.5</v>
      </c>
      <c r="I425" s="21">
        <v>203.0</v>
      </c>
      <c r="J425" s="22">
        <v>53.0</v>
      </c>
      <c r="K425" s="50"/>
      <c r="L425" s="21" t="str">
        <f>IF(K425&gt;0,K425*I425,"")</f>
      </c>
      <c r="M425" s="52"/>
      <c r="N425" t="str">
        <f>IF(K425&gt;0,COUNTIF($K$7:K425,"&gt;0"),"")</f>
      </c>
      <c r="O425" t="s">
        <v>1247</v>
      </c>
      <c r="P425" t="s">
        <v>1245</v>
      </c>
    </row>
    <row r="426" spans="1:16" customHeight="1" ht="58">
      <c r="A426" s="16"/>
      <c r="B426" s="18" t="s">
        <v>1217</v>
      </c>
      <c r="C426" s="17" t="s">
        <v>566</v>
      </c>
      <c r="D426" s="17" t="s">
        <v>1249</v>
      </c>
      <c r="E426" s="17" t="s">
        <v>1219</v>
      </c>
      <c r="F426" s="19"/>
      <c r="G426" s="20">
        <v>1.0</v>
      </c>
      <c r="H426" s="21">
        <v>324.5</v>
      </c>
      <c r="I426" s="21">
        <v>203.0</v>
      </c>
      <c r="J426" s="22">
        <v>83.0</v>
      </c>
      <c r="K426" s="50"/>
      <c r="L426" s="21" t="str">
        <f>IF(K426&gt;0,K426*I426,"")</f>
      </c>
      <c r="M426" s="52"/>
      <c r="N426" t="str">
        <f>IF(K426&gt;0,COUNTIF($K$7:K426,"&gt;0"),"")</f>
      </c>
      <c r="O426" t="s">
        <v>1250</v>
      </c>
      <c r="P426" t="s">
        <v>1248</v>
      </c>
    </row>
    <row r="427" spans="1:16" customHeight="1" ht="58">
      <c r="A427" s="16"/>
      <c r="B427" s="18" t="s">
        <v>1217</v>
      </c>
      <c r="C427" s="17" t="s">
        <v>566</v>
      </c>
      <c r="D427" s="17" t="s">
        <v>1252</v>
      </c>
      <c r="E427" s="17" t="s">
        <v>1219</v>
      </c>
      <c r="F427" s="19"/>
      <c r="G427" s="20">
        <v>1.0</v>
      </c>
      <c r="H427" s="21">
        <v>324.5</v>
      </c>
      <c r="I427" s="21">
        <v>203.0</v>
      </c>
      <c r="J427" s="22">
        <v>782.0</v>
      </c>
      <c r="K427" s="50"/>
      <c r="L427" s="21" t="str">
        <f>IF(K427&gt;0,K427*I427,"")</f>
      </c>
      <c r="M427" s="52"/>
      <c r="N427" t="str">
        <f>IF(K427&gt;0,COUNTIF($K$7:K427,"&gt;0"),"")</f>
      </c>
      <c r="O427" t="s">
        <v>1253</v>
      </c>
      <c r="P427" t="s">
        <v>1251</v>
      </c>
    </row>
    <row r="428" spans="1:16" customHeight="1" ht="58">
      <c r="A428" s="16"/>
      <c r="B428" s="18" t="s">
        <v>1217</v>
      </c>
      <c r="C428" s="17" t="s">
        <v>566</v>
      </c>
      <c r="D428" s="17" t="s">
        <v>1255</v>
      </c>
      <c r="E428" s="17" t="s">
        <v>1219</v>
      </c>
      <c r="F428" s="19"/>
      <c r="G428" s="20">
        <v>1.0</v>
      </c>
      <c r="H428" s="21">
        <v>324.5</v>
      </c>
      <c r="I428" s="21">
        <v>203.0</v>
      </c>
      <c r="J428" s="22">
        <v>145.0</v>
      </c>
      <c r="K428" s="50"/>
      <c r="L428" s="21" t="str">
        <f>IF(K428&gt;0,K428*I428,"")</f>
      </c>
      <c r="M428" s="52"/>
      <c r="N428" t="str">
        <f>IF(K428&gt;0,COUNTIF($K$7:K428,"&gt;0"),"")</f>
      </c>
      <c r="O428" t="s">
        <v>1256</v>
      </c>
      <c r="P428" t="s">
        <v>1254</v>
      </c>
    </row>
    <row r="429" spans="1:16" customHeight="1" ht="58">
      <c r="A429" s="16"/>
      <c r="B429" s="18" t="s">
        <v>1217</v>
      </c>
      <c r="C429" s="17" t="s">
        <v>566</v>
      </c>
      <c r="D429" s="17" t="s">
        <v>1258</v>
      </c>
      <c r="E429" s="17" t="s">
        <v>1219</v>
      </c>
      <c r="F429" s="19"/>
      <c r="G429" s="20">
        <v>1.0</v>
      </c>
      <c r="H429" s="21">
        <v>324.5</v>
      </c>
      <c r="I429" s="21">
        <v>203.0</v>
      </c>
      <c r="J429" s="22">
        <v>109.0</v>
      </c>
      <c r="K429" s="50"/>
      <c r="L429" s="21" t="str">
        <f>IF(K429&gt;0,K429*I429,"")</f>
      </c>
      <c r="M429" s="52"/>
      <c r="N429" t="str">
        <f>IF(K429&gt;0,COUNTIF($K$7:K429,"&gt;0"),"")</f>
      </c>
      <c r="O429" t="s">
        <v>1259</v>
      </c>
      <c r="P429" t="s">
        <v>1257</v>
      </c>
    </row>
    <row r="430" spans="1:16" customHeight="1" ht="58">
      <c r="A430" s="16"/>
      <c r="B430" s="18" t="s">
        <v>1217</v>
      </c>
      <c r="C430" s="17" t="s">
        <v>566</v>
      </c>
      <c r="D430" s="17" t="s">
        <v>1261</v>
      </c>
      <c r="E430" s="17" t="s">
        <v>1219</v>
      </c>
      <c r="F430" s="19"/>
      <c r="G430" s="20">
        <v>1.0</v>
      </c>
      <c r="H430" s="21">
        <v>324.5</v>
      </c>
      <c r="I430" s="21">
        <v>203.0</v>
      </c>
      <c r="J430" s="22">
        <v>95.0</v>
      </c>
      <c r="K430" s="50"/>
      <c r="L430" s="21" t="str">
        <f>IF(K430&gt;0,K430*I430,"")</f>
      </c>
      <c r="M430" s="52"/>
      <c r="N430" t="str">
        <f>IF(K430&gt;0,COUNTIF($K$7:K430,"&gt;0"),"")</f>
      </c>
      <c r="O430" t="s">
        <v>1262</v>
      </c>
      <c r="P430" t="s">
        <v>1260</v>
      </c>
    </row>
    <row r="431" spans="1:16" customHeight="1" ht="58">
      <c r="A431" s="16"/>
      <c r="B431" s="18" t="s">
        <v>1217</v>
      </c>
      <c r="C431" s="17" t="s">
        <v>566</v>
      </c>
      <c r="D431" s="17" t="s">
        <v>1264</v>
      </c>
      <c r="E431" s="17" t="s">
        <v>1219</v>
      </c>
      <c r="F431" s="19"/>
      <c r="G431" s="20">
        <v>1.0</v>
      </c>
      <c r="H431" s="21">
        <v>324.5</v>
      </c>
      <c r="I431" s="21">
        <v>203.0</v>
      </c>
      <c r="J431" s="22">
        <v>214.0</v>
      </c>
      <c r="K431" s="50"/>
      <c r="L431" s="21" t="str">
        <f>IF(K431&gt;0,K431*I431,"")</f>
      </c>
      <c r="M431" s="52"/>
      <c r="N431" t="str">
        <f>IF(K431&gt;0,COUNTIF($K$7:K431,"&gt;0"),"")</f>
      </c>
      <c r="O431" t="s">
        <v>1265</v>
      </c>
      <c r="P431" t="s">
        <v>1263</v>
      </c>
    </row>
    <row r="432" spans="1:16" customHeight="1" ht="58">
      <c r="A432" s="16"/>
      <c r="B432" s="18" t="s">
        <v>1217</v>
      </c>
      <c r="C432" s="17" t="s">
        <v>566</v>
      </c>
      <c r="D432" s="17" t="s">
        <v>1267</v>
      </c>
      <c r="E432" s="17" t="s">
        <v>1219</v>
      </c>
      <c r="F432" s="19"/>
      <c r="G432" s="20">
        <v>1.0</v>
      </c>
      <c r="H432" s="21">
        <v>324.5</v>
      </c>
      <c r="I432" s="21">
        <v>203.0</v>
      </c>
      <c r="J432" s="22">
        <v>1.0</v>
      </c>
      <c r="K432" s="50"/>
      <c r="L432" s="21" t="str">
        <f>IF(K432&gt;0,K432*I432,"")</f>
      </c>
      <c r="M432" s="52"/>
      <c r="N432" t="str">
        <f>IF(K432&gt;0,COUNTIF($K$7:K432,"&gt;0"),"")</f>
      </c>
      <c r="O432" t="s">
        <v>1268</v>
      </c>
      <c r="P432" t="s">
        <v>1266</v>
      </c>
    </row>
    <row r="433" spans="1:16" customHeight="1" ht="58">
      <c r="A433" s="16"/>
      <c r="B433" s="18" t="s">
        <v>1217</v>
      </c>
      <c r="C433" s="17" t="s">
        <v>566</v>
      </c>
      <c r="D433" s="17" t="s">
        <v>1270</v>
      </c>
      <c r="E433" s="17" t="s">
        <v>1219</v>
      </c>
      <c r="F433" s="19"/>
      <c r="G433" s="20">
        <v>1.0</v>
      </c>
      <c r="H433" s="21">
        <v>324.5</v>
      </c>
      <c r="I433" s="21">
        <v>203.0</v>
      </c>
      <c r="J433" s="22">
        <v>62.0</v>
      </c>
      <c r="K433" s="50"/>
      <c r="L433" s="21" t="str">
        <f>IF(K433&gt;0,K433*I433,"")</f>
      </c>
      <c r="M433" s="52"/>
      <c r="N433" t="str">
        <f>IF(K433&gt;0,COUNTIF($K$7:K433,"&gt;0"),"")</f>
      </c>
      <c r="O433" t="s">
        <v>1271</v>
      </c>
      <c r="P433" t="s">
        <v>1269</v>
      </c>
    </row>
    <row r="434" spans="1:16" customHeight="1" ht="58">
      <c r="A434" s="16"/>
      <c r="B434" s="18" t="s">
        <v>1273</v>
      </c>
      <c r="C434" s="17" t="s">
        <v>566</v>
      </c>
      <c r="D434" s="17" t="s">
        <v>1161</v>
      </c>
      <c r="E434" s="17" t="s">
        <v>1274</v>
      </c>
      <c r="F434" s="19"/>
      <c r="G434" s="20">
        <v>1.0</v>
      </c>
      <c r="H434" s="21">
        <v>462.0</v>
      </c>
      <c r="I434" s="21">
        <v>284.0</v>
      </c>
      <c r="J434" s="22">
        <v>1.0</v>
      </c>
      <c r="K434" s="50"/>
      <c r="L434" s="21" t="str">
        <f>IF(K434&gt;0,K434*I434,"")</f>
      </c>
      <c r="M434" s="52"/>
      <c r="N434" t="str">
        <f>IF(K434&gt;0,COUNTIF($K$7:K434,"&gt;0"),"")</f>
      </c>
      <c r="O434" t="s">
        <v>1275</v>
      </c>
      <c r="P434" t="s">
        <v>1272</v>
      </c>
    </row>
    <row r="435" spans="1:16" customHeight="1" ht="58">
      <c r="A435" s="16"/>
      <c r="B435" s="18" t="s">
        <v>1277</v>
      </c>
      <c r="C435" s="17" t="s">
        <v>566</v>
      </c>
      <c r="D435" s="17" t="s">
        <v>1278</v>
      </c>
      <c r="E435" s="17" t="s">
        <v>1279</v>
      </c>
      <c r="F435" s="19"/>
      <c r="G435" s="20">
        <v>1.0</v>
      </c>
      <c r="H435" s="21">
        <v>440.0</v>
      </c>
      <c r="I435" s="21">
        <v>284.0</v>
      </c>
      <c r="J435" s="22">
        <v>1.0</v>
      </c>
      <c r="K435" s="50"/>
      <c r="L435" s="21" t="str">
        <f>IF(K435&gt;0,K435*I435,"")</f>
      </c>
      <c r="M435" s="52"/>
      <c r="N435" t="str">
        <f>IF(K435&gt;0,COUNTIF($K$7:K435,"&gt;0"),"")</f>
      </c>
      <c r="P435" t="s">
        <v>1276</v>
      </c>
    </row>
    <row r="436" spans="1:16" customHeight="1" ht="58">
      <c r="A436" s="16"/>
      <c r="B436" s="18" t="s">
        <v>1281</v>
      </c>
      <c r="C436" s="17" t="s">
        <v>566</v>
      </c>
      <c r="D436" s="17" t="s">
        <v>1282</v>
      </c>
      <c r="E436" s="17" t="s">
        <v>1283</v>
      </c>
      <c r="F436" s="19"/>
      <c r="G436" s="20">
        <v>1.0</v>
      </c>
      <c r="H436" s="21">
        <v>231.0</v>
      </c>
      <c r="I436" s="21">
        <v>231.0</v>
      </c>
      <c r="J436" s="22">
        <v>1.0</v>
      </c>
      <c r="K436" s="50"/>
      <c r="L436" s="21" t="str">
        <f>IF(K436&gt;0,K436*I436,"")</f>
      </c>
      <c r="M436" s="52"/>
      <c r="N436" t="str">
        <f>IF(K436&gt;0,COUNTIF($K$7:K436,"&gt;0"),"")</f>
      </c>
      <c r="P436" t="s">
        <v>1280</v>
      </c>
    </row>
    <row r="437" spans="1:16" customHeight="1" ht="58">
      <c r="A437" s="16"/>
      <c r="B437" s="18" t="s">
        <v>1285</v>
      </c>
      <c r="C437" s="17" t="s">
        <v>566</v>
      </c>
      <c r="D437" s="17" t="s">
        <v>693</v>
      </c>
      <c r="E437" s="17" t="s">
        <v>1286</v>
      </c>
      <c r="F437" s="19"/>
      <c r="G437" s="20">
        <v>1.0</v>
      </c>
      <c r="H437" s="21">
        <v>231.0</v>
      </c>
      <c r="I437" s="21">
        <v>143.0</v>
      </c>
      <c r="J437" s="22">
        <v>141.0</v>
      </c>
      <c r="K437" s="50"/>
      <c r="L437" s="21" t="str">
        <f>IF(K437&gt;0,K437*I437,"")</f>
      </c>
      <c r="M437" s="52"/>
      <c r="N437" t="str">
        <f>IF(K437&gt;0,COUNTIF($K$7:K437,"&gt;0"),"")</f>
      </c>
      <c r="O437" t="s">
        <v>1287</v>
      </c>
      <c r="P437" t="s">
        <v>1284</v>
      </c>
    </row>
    <row r="438" spans="1:16" customHeight="1" ht="58">
      <c r="A438" s="16"/>
      <c r="B438" s="18" t="s">
        <v>1285</v>
      </c>
      <c r="C438" s="17" t="s">
        <v>566</v>
      </c>
      <c r="D438" s="17" t="s">
        <v>889</v>
      </c>
      <c r="E438" s="17" t="s">
        <v>1286</v>
      </c>
      <c r="F438" s="19"/>
      <c r="G438" s="20">
        <v>1.0</v>
      </c>
      <c r="H438" s="21">
        <v>231.0</v>
      </c>
      <c r="I438" s="21">
        <v>143.0</v>
      </c>
      <c r="J438" s="22">
        <v>156.0</v>
      </c>
      <c r="K438" s="50"/>
      <c r="L438" s="21" t="str">
        <f>IF(K438&gt;0,K438*I438,"")</f>
      </c>
      <c r="M438" s="52"/>
      <c r="N438" t="str">
        <f>IF(K438&gt;0,COUNTIF($K$7:K438,"&gt;0"),"")</f>
      </c>
      <c r="O438" t="s">
        <v>1289</v>
      </c>
      <c r="P438" t="s">
        <v>1288</v>
      </c>
    </row>
    <row r="439" spans="1:16" customHeight="1" ht="58">
      <c r="A439" s="16"/>
      <c r="B439" s="18" t="s">
        <v>1285</v>
      </c>
      <c r="C439" s="17" t="s">
        <v>566</v>
      </c>
      <c r="D439" s="17" t="s">
        <v>1291</v>
      </c>
      <c r="E439" s="17" t="s">
        <v>1286</v>
      </c>
      <c r="F439" s="19"/>
      <c r="G439" s="20">
        <v>1.0</v>
      </c>
      <c r="H439" s="21">
        <v>231.0</v>
      </c>
      <c r="I439" s="21">
        <v>143.0</v>
      </c>
      <c r="J439" s="22">
        <v>79.0</v>
      </c>
      <c r="K439" s="50"/>
      <c r="L439" s="21" t="str">
        <f>IF(K439&gt;0,K439*I439,"")</f>
      </c>
      <c r="M439" s="52"/>
      <c r="N439" t="str">
        <f>IF(K439&gt;0,COUNTIF($K$7:K439,"&gt;0"),"")</f>
      </c>
      <c r="O439" t="s">
        <v>1292</v>
      </c>
      <c r="P439" t="s">
        <v>1290</v>
      </c>
    </row>
    <row r="440" spans="1:16" customHeight="1" ht="58">
      <c r="A440" s="16"/>
      <c r="B440" s="18" t="s">
        <v>1285</v>
      </c>
      <c r="C440" s="17" t="s">
        <v>566</v>
      </c>
      <c r="D440" s="17" t="s">
        <v>267</v>
      </c>
      <c r="E440" s="17" t="s">
        <v>1286</v>
      </c>
      <c r="F440" s="19"/>
      <c r="G440" s="20">
        <v>1.0</v>
      </c>
      <c r="H440" s="21">
        <v>231.0</v>
      </c>
      <c r="I440" s="21">
        <v>143.0</v>
      </c>
      <c r="J440" s="22">
        <v>123.0</v>
      </c>
      <c r="K440" s="50"/>
      <c r="L440" s="21" t="str">
        <f>IF(K440&gt;0,K440*I440,"")</f>
      </c>
      <c r="M440" s="52"/>
      <c r="N440" t="str">
        <f>IF(K440&gt;0,COUNTIF($K$7:K440,"&gt;0"),"")</f>
      </c>
      <c r="O440" t="s">
        <v>1294</v>
      </c>
      <c r="P440" t="s">
        <v>1293</v>
      </c>
    </row>
    <row r="441" spans="1:16" customHeight="1" ht="58">
      <c r="A441" s="16"/>
      <c r="B441" s="18" t="s">
        <v>1296</v>
      </c>
      <c r="C441" s="17" t="s">
        <v>566</v>
      </c>
      <c r="D441" s="17" t="s">
        <v>1297</v>
      </c>
      <c r="E441" s="17" t="s">
        <v>1298</v>
      </c>
      <c r="F441" s="19"/>
      <c r="G441" s="20">
        <v>1.0</v>
      </c>
      <c r="H441" s="21">
        <v>396.0</v>
      </c>
      <c r="I441" s="21">
        <v>261.0</v>
      </c>
      <c r="J441" s="22">
        <v>1.0</v>
      </c>
      <c r="K441" s="50"/>
      <c r="L441" s="21" t="str">
        <f>IF(K441&gt;0,K441*I441,"")</f>
      </c>
      <c r="M441" s="52"/>
      <c r="N441" t="str">
        <f>IF(K441&gt;0,COUNTIF($K$7:K441,"&gt;0"),"")</f>
      </c>
      <c r="O441" t="s">
        <v>1299</v>
      </c>
      <c r="P441" t="s">
        <v>1295</v>
      </c>
    </row>
    <row r="442" spans="1:16" customHeight="1" ht="58">
      <c r="A442" s="16"/>
      <c r="B442" s="18" t="s">
        <v>1296</v>
      </c>
      <c r="C442" s="17" t="s">
        <v>566</v>
      </c>
      <c r="D442" s="17" t="s">
        <v>1301</v>
      </c>
      <c r="E442" s="17" t="s">
        <v>1298</v>
      </c>
      <c r="F442" s="19"/>
      <c r="G442" s="20">
        <v>1.0</v>
      </c>
      <c r="H442" s="21">
        <v>396.0</v>
      </c>
      <c r="I442" s="21">
        <v>261.0</v>
      </c>
      <c r="J442" s="22">
        <v>3.0</v>
      </c>
      <c r="K442" s="50"/>
      <c r="L442" s="21" t="str">
        <f>IF(K442&gt;0,K442*I442,"")</f>
      </c>
      <c r="M442" s="52"/>
      <c r="N442" t="str">
        <f>IF(K442&gt;0,COUNTIF($K$7:K442,"&gt;0"),"")</f>
      </c>
      <c r="O442" t="s">
        <v>1302</v>
      </c>
      <c r="P442" t="s">
        <v>1300</v>
      </c>
    </row>
    <row r="443" spans="1:16" customHeight="1" ht="58">
      <c r="A443" s="16"/>
      <c r="B443" s="18" t="s">
        <v>1304</v>
      </c>
      <c r="C443" s="17" t="s">
        <v>566</v>
      </c>
      <c r="D443" s="17" t="s">
        <v>1050</v>
      </c>
      <c r="E443" s="17" t="s">
        <v>1305</v>
      </c>
      <c r="F443" s="19"/>
      <c r="G443" s="20">
        <v>1.0</v>
      </c>
      <c r="H443" s="21">
        <v>231.0</v>
      </c>
      <c r="I443" s="21">
        <v>231.0</v>
      </c>
      <c r="J443" s="22">
        <v>46.0</v>
      </c>
      <c r="K443" s="50"/>
      <c r="L443" s="21" t="str">
        <f>IF(K443&gt;0,K443*I443,"")</f>
      </c>
      <c r="M443" s="52"/>
      <c r="N443" t="str">
        <f>IF(K443&gt;0,COUNTIF($K$7:K443,"&gt;0"),"")</f>
      </c>
      <c r="O443" t="s">
        <v>1306</v>
      </c>
      <c r="P443" t="s">
        <v>1303</v>
      </c>
    </row>
    <row r="444" spans="1:16" customHeight="1" ht="58">
      <c r="A444" s="16"/>
      <c r="B444" s="18" t="s">
        <v>1304</v>
      </c>
      <c r="C444" s="17" t="s">
        <v>566</v>
      </c>
      <c r="D444" s="17" t="s">
        <v>352</v>
      </c>
      <c r="E444" s="17" t="s">
        <v>1305</v>
      </c>
      <c r="F444" s="19"/>
      <c r="G444" s="20">
        <v>1.0</v>
      </c>
      <c r="H444" s="21">
        <v>396.0</v>
      </c>
      <c r="I444" s="21">
        <v>261.0</v>
      </c>
      <c r="J444" s="22">
        <v>2.0</v>
      </c>
      <c r="K444" s="50"/>
      <c r="L444" s="21" t="str">
        <f>IF(K444&gt;0,K444*I444,"")</f>
      </c>
      <c r="M444" s="52"/>
      <c r="N444" t="str">
        <f>IF(K444&gt;0,COUNTIF($K$7:K444,"&gt;0"),"")</f>
      </c>
      <c r="O444" t="s">
        <v>1306</v>
      </c>
      <c r="P444" t="s">
        <v>1307</v>
      </c>
    </row>
    <row r="445" spans="1:16" customHeight="1" ht="58">
      <c r="A445" s="16"/>
      <c r="B445" s="18" t="s">
        <v>1309</v>
      </c>
      <c r="C445" s="17" t="s">
        <v>566</v>
      </c>
      <c r="D445" s="17" t="s">
        <v>1310</v>
      </c>
      <c r="E445" s="17" t="s">
        <v>1311</v>
      </c>
      <c r="F445" s="19"/>
      <c r="G445" s="20">
        <v>1.0</v>
      </c>
      <c r="H445" s="21">
        <v>330.0</v>
      </c>
      <c r="I445" s="21">
        <v>212.0</v>
      </c>
      <c r="J445" s="22">
        <v>310.0</v>
      </c>
      <c r="K445" s="50"/>
      <c r="L445" s="21" t="str">
        <f>IF(K445&gt;0,K445*I445,"")</f>
      </c>
      <c r="M445" s="52"/>
      <c r="N445" t="str">
        <f>IF(K445&gt;0,COUNTIF($K$7:K445,"&gt;0"),"")</f>
      </c>
      <c r="O445" t="s">
        <v>1312</v>
      </c>
      <c r="P445" t="s">
        <v>1308</v>
      </c>
    </row>
    <row r="446" spans="1:16" customHeight="1" ht="58">
      <c r="A446" s="16"/>
      <c r="B446" s="18" t="s">
        <v>1309</v>
      </c>
      <c r="C446" s="17" t="s">
        <v>566</v>
      </c>
      <c r="D446" s="17" t="s">
        <v>1314</v>
      </c>
      <c r="E446" s="17" t="s">
        <v>1311</v>
      </c>
      <c r="F446" s="19"/>
      <c r="G446" s="20">
        <v>1.0</v>
      </c>
      <c r="H446" s="21">
        <v>330.0</v>
      </c>
      <c r="I446" s="21">
        <v>212.0</v>
      </c>
      <c r="J446" s="22">
        <v>193.0</v>
      </c>
      <c r="K446" s="50"/>
      <c r="L446" s="21" t="str">
        <f>IF(K446&gt;0,K446*I446,"")</f>
      </c>
      <c r="M446" s="52"/>
      <c r="N446" t="str">
        <f>IF(K446&gt;0,COUNTIF($K$7:K446,"&gt;0"),"")</f>
      </c>
      <c r="O446" t="s">
        <v>1315</v>
      </c>
      <c r="P446" t="s">
        <v>1313</v>
      </c>
    </row>
    <row r="447" spans="1:16" customHeight="1" ht="58">
      <c r="A447" s="16"/>
      <c r="B447" s="18" t="s">
        <v>1317</v>
      </c>
      <c r="C447" s="17" t="s">
        <v>566</v>
      </c>
      <c r="D447" s="17" t="s">
        <v>1318</v>
      </c>
      <c r="E447" s="17" t="s">
        <v>1319</v>
      </c>
      <c r="F447" s="19"/>
      <c r="G447" s="20">
        <v>1.0</v>
      </c>
      <c r="H447" s="21">
        <v>363.0</v>
      </c>
      <c r="I447" s="21">
        <v>228.0</v>
      </c>
      <c r="J447" s="22">
        <v>29.0</v>
      </c>
      <c r="K447" s="50"/>
      <c r="L447" s="21" t="str">
        <f>IF(K447&gt;0,K447*I447,"")</f>
      </c>
      <c r="M447" s="52"/>
      <c r="N447" t="str">
        <f>IF(K447&gt;0,COUNTIF($K$7:K447,"&gt;0"),"")</f>
      </c>
      <c r="O447" t="s">
        <v>1320</v>
      </c>
      <c r="P447" t="s">
        <v>1316</v>
      </c>
    </row>
    <row r="448" spans="1:16" customHeight="1" ht="58">
      <c r="A448" s="16"/>
      <c r="B448" s="18" t="s">
        <v>1322</v>
      </c>
      <c r="C448" s="17" t="s">
        <v>1323</v>
      </c>
      <c r="D448" s="17" t="s">
        <v>1324</v>
      </c>
      <c r="E448" s="17" t="s">
        <v>1325</v>
      </c>
      <c r="F448" s="19"/>
      <c r="G448" s="20">
        <v>1.0</v>
      </c>
      <c r="H448" s="21">
        <v>231.0</v>
      </c>
      <c r="I448" s="21">
        <v>150.0</v>
      </c>
      <c r="J448" s="22">
        <v>707.0</v>
      </c>
      <c r="K448" s="50"/>
      <c r="L448" s="21" t="str">
        <f>IF(K448&gt;0,K448*I448,"")</f>
      </c>
      <c r="M448" s="52"/>
      <c r="N448" t="str">
        <f>IF(K448&gt;0,COUNTIF($K$7:K448,"&gt;0"),"")</f>
      </c>
      <c r="O448" t="s">
        <v>1326</v>
      </c>
      <c r="P448" t="s">
        <v>1321</v>
      </c>
    </row>
    <row r="449" spans="1:16" customHeight="1" ht="58">
      <c r="A449" s="16"/>
      <c r="B449" s="18" t="s">
        <v>1322</v>
      </c>
      <c r="C449" s="17" t="s">
        <v>1323</v>
      </c>
      <c r="D449" s="17" t="s">
        <v>1328</v>
      </c>
      <c r="E449" s="17" t="s">
        <v>1325</v>
      </c>
      <c r="F449" s="19"/>
      <c r="G449" s="20">
        <v>1.0</v>
      </c>
      <c r="H449" s="21">
        <v>231.0</v>
      </c>
      <c r="I449" s="21">
        <v>150.0</v>
      </c>
      <c r="J449" s="22">
        <v>840.0</v>
      </c>
      <c r="K449" s="50"/>
      <c r="L449" s="21" t="str">
        <f>IF(K449&gt;0,K449*I449,"")</f>
      </c>
      <c r="M449" s="52"/>
      <c r="N449" t="str">
        <f>IF(K449&gt;0,COUNTIF($K$7:K449,"&gt;0"),"")</f>
      </c>
      <c r="O449" t="s">
        <v>1329</v>
      </c>
      <c r="P449" t="s">
        <v>1327</v>
      </c>
    </row>
    <row r="450" spans="1:16" customHeight="1" ht="58">
      <c r="A450" s="16"/>
      <c r="B450" s="18" t="s">
        <v>1322</v>
      </c>
      <c r="C450" s="17" t="s">
        <v>1323</v>
      </c>
      <c r="D450" s="17" t="s">
        <v>1331</v>
      </c>
      <c r="E450" s="17" t="s">
        <v>1325</v>
      </c>
      <c r="F450" s="19"/>
      <c r="G450" s="20">
        <v>1.0</v>
      </c>
      <c r="H450" s="21">
        <v>231.0</v>
      </c>
      <c r="I450" s="21">
        <v>150.0</v>
      </c>
      <c r="J450" s="22">
        <v>1654.0</v>
      </c>
      <c r="K450" s="50"/>
      <c r="L450" s="21" t="str">
        <f>IF(K450&gt;0,K450*I450,"")</f>
      </c>
      <c r="M450" s="52"/>
      <c r="N450" t="str">
        <f>IF(K450&gt;0,COUNTIF($K$7:K450,"&gt;0"),"")</f>
      </c>
      <c r="O450" t="s">
        <v>1332</v>
      </c>
      <c r="P450" t="s">
        <v>1330</v>
      </c>
    </row>
    <row r="451" spans="1:16" customHeight="1" ht="58">
      <c r="A451" s="16"/>
      <c r="B451" s="18" t="s">
        <v>1322</v>
      </c>
      <c r="C451" s="17" t="s">
        <v>1323</v>
      </c>
      <c r="D451" s="17" t="s">
        <v>1334</v>
      </c>
      <c r="E451" s="17" t="s">
        <v>1325</v>
      </c>
      <c r="F451" s="19"/>
      <c r="G451" s="20">
        <v>1.0</v>
      </c>
      <c r="H451" s="21">
        <v>231.0</v>
      </c>
      <c r="I451" s="21">
        <v>150.0</v>
      </c>
      <c r="J451" s="22">
        <v>255.0</v>
      </c>
      <c r="K451" s="50"/>
      <c r="L451" s="21" t="str">
        <f>IF(K451&gt;0,K451*I451,"")</f>
      </c>
      <c r="M451" s="52"/>
      <c r="N451" t="str">
        <f>IF(K451&gt;0,COUNTIF($K$7:K451,"&gt;0"),"")</f>
      </c>
      <c r="O451" t="s">
        <v>1335</v>
      </c>
      <c r="P451" t="s">
        <v>1333</v>
      </c>
    </row>
    <row r="452" spans="1:16" customHeight="1" ht="58">
      <c r="A452" s="16"/>
      <c r="B452" s="18" t="s">
        <v>1322</v>
      </c>
      <c r="C452" s="17" t="s">
        <v>1323</v>
      </c>
      <c r="D452" s="17" t="s">
        <v>1337</v>
      </c>
      <c r="E452" s="17" t="s">
        <v>1325</v>
      </c>
      <c r="F452" s="19"/>
      <c r="G452" s="20">
        <v>1.0</v>
      </c>
      <c r="H452" s="21">
        <v>231.0</v>
      </c>
      <c r="I452" s="21">
        <v>150.0</v>
      </c>
      <c r="J452" s="22">
        <v>1293.0</v>
      </c>
      <c r="K452" s="50"/>
      <c r="L452" s="21" t="str">
        <f>IF(K452&gt;0,K452*I452,"")</f>
      </c>
      <c r="M452" s="52"/>
      <c r="N452" t="str">
        <f>IF(K452&gt;0,COUNTIF($K$7:K452,"&gt;0"),"")</f>
      </c>
      <c r="O452" t="s">
        <v>1338</v>
      </c>
      <c r="P452" t="s">
        <v>1336</v>
      </c>
    </row>
    <row r="453" spans="1:16" customHeight="1" ht="58">
      <c r="A453" s="16"/>
      <c r="B453" s="18" t="s">
        <v>1322</v>
      </c>
      <c r="C453" s="17" t="s">
        <v>1323</v>
      </c>
      <c r="D453" s="17" t="s">
        <v>1340</v>
      </c>
      <c r="E453" s="17" t="s">
        <v>1325</v>
      </c>
      <c r="F453" s="19"/>
      <c r="G453" s="20">
        <v>1.0</v>
      </c>
      <c r="H453" s="21">
        <v>231.0</v>
      </c>
      <c r="I453" s="21">
        <v>150.0</v>
      </c>
      <c r="J453" s="22">
        <v>1258.0</v>
      </c>
      <c r="K453" s="50"/>
      <c r="L453" s="21" t="str">
        <f>IF(K453&gt;0,K453*I453,"")</f>
      </c>
      <c r="M453" s="52"/>
      <c r="N453" t="str">
        <f>IF(K453&gt;0,COUNTIF($K$7:K453,"&gt;0"),"")</f>
      </c>
      <c r="O453" t="s">
        <v>1341</v>
      </c>
      <c r="P453" t="s">
        <v>1339</v>
      </c>
    </row>
    <row r="454" spans="1:16" customHeight="1" ht="58">
      <c r="A454" s="16"/>
      <c r="B454" s="18" t="s">
        <v>1322</v>
      </c>
      <c r="C454" s="17" t="s">
        <v>1323</v>
      </c>
      <c r="D454" s="17" t="s">
        <v>1343</v>
      </c>
      <c r="E454" s="17" t="s">
        <v>1325</v>
      </c>
      <c r="F454" s="19"/>
      <c r="G454" s="20">
        <v>1.0</v>
      </c>
      <c r="H454" s="21">
        <v>231.0</v>
      </c>
      <c r="I454" s="21">
        <v>150.0</v>
      </c>
      <c r="J454" s="22">
        <v>815.0</v>
      </c>
      <c r="K454" s="50"/>
      <c r="L454" s="21" t="str">
        <f>IF(K454&gt;0,K454*I454,"")</f>
      </c>
      <c r="M454" s="52"/>
      <c r="N454" t="str">
        <f>IF(K454&gt;0,COUNTIF($K$7:K454,"&gt;0"),"")</f>
      </c>
      <c r="O454" t="s">
        <v>1344</v>
      </c>
      <c r="P454" t="s">
        <v>1342</v>
      </c>
    </row>
    <row r="455" spans="1:16" customHeight="1" ht="58">
      <c r="A455" s="16"/>
      <c r="B455" s="18" t="s">
        <v>1322</v>
      </c>
      <c r="C455" s="17" t="s">
        <v>1323</v>
      </c>
      <c r="D455" s="17" t="s">
        <v>1346</v>
      </c>
      <c r="E455" s="17" t="s">
        <v>1325</v>
      </c>
      <c r="F455" s="19"/>
      <c r="G455" s="20">
        <v>1.0</v>
      </c>
      <c r="H455" s="21">
        <v>231.0</v>
      </c>
      <c r="I455" s="21">
        <v>150.0</v>
      </c>
      <c r="J455" s="22">
        <v>1191.0</v>
      </c>
      <c r="K455" s="50"/>
      <c r="L455" s="21" t="str">
        <f>IF(K455&gt;0,K455*I455,"")</f>
      </c>
      <c r="M455" s="52"/>
      <c r="N455" t="str">
        <f>IF(K455&gt;0,COUNTIF($K$7:K455,"&gt;0"),"")</f>
      </c>
      <c r="O455" t="s">
        <v>1347</v>
      </c>
      <c r="P455" t="s">
        <v>1345</v>
      </c>
    </row>
    <row r="456" spans="1:16" customHeight="1" ht="58">
      <c r="A456" s="16"/>
      <c r="B456" s="18" t="s">
        <v>1322</v>
      </c>
      <c r="C456" s="17" t="s">
        <v>1323</v>
      </c>
      <c r="D456" s="17" t="s">
        <v>1349</v>
      </c>
      <c r="E456" s="17" t="s">
        <v>1325</v>
      </c>
      <c r="F456" s="19"/>
      <c r="G456" s="20">
        <v>1.0</v>
      </c>
      <c r="H456" s="21">
        <v>231.0</v>
      </c>
      <c r="I456" s="21">
        <v>150.0</v>
      </c>
      <c r="J456" s="22">
        <v>1621.0</v>
      </c>
      <c r="K456" s="50"/>
      <c r="L456" s="21" t="str">
        <f>IF(K456&gt;0,K456*I456,"")</f>
      </c>
      <c r="M456" s="52"/>
      <c r="N456" t="str">
        <f>IF(K456&gt;0,COUNTIF($K$7:K456,"&gt;0"),"")</f>
      </c>
      <c r="O456" t="s">
        <v>1350</v>
      </c>
      <c r="P456" t="s">
        <v>1348</v>
      </c>
    </row>
    <row r="457" spans="1:16" customHeight="1" ht="58">
      <c r="A457" s="16"/>
      <c r="B457" s="18" t="s">
        <v>1322</v>
      </c>
      <c r="C457" s="17" t="s">
        <v>1323</v>
      </c>
      <c r="D457" s="17" t="s">
        <v>1352</v>
      </c>
      <c r="E457" s="17" t="s">
        <v>1325</v>
      </c>
      <c r="F457" s="19"/>
      <c r="G457" s="20">
        <v>1.0</v>
      </c>
      <c r="H457" s="21">
        <v>231.0</v>
      </c>
      <c r="I457" s="21">
        <v>150.0</v>
      </c>
      <c r="J457" s="22">
        <v>188.0</v>
      </c>
      <c r="K457" s="50"/>
      <c r="L457" s="21" t="str">
        <f>IF(K457&gt;0,K457*I457,"")</f>
      </c>
      <c r="M457" s="52"/>
      <c r="N457" t="str">
        <f>IF(K457&gt;0,COUNTIF($K$7:K457,"&gt;0"),"")</f>
      </c>
      <c r="O457" t="s">
        <v>1353</v>
      </c>
      <c r="P457" t="s">
        <v>1351</v>
      </c>
    </row>
    <row r="458" spans="1:16" customHeight="1" ht="58">
      <c r="A458" s="16"/>
      <c r="B458" s="18" t="s">
        <v>1322</v>
      </c>
      <c r="C458" s="17" t="s">
        <v>1323</v>
      </c>
      <c r="D458" s="17" t="s">
        <v>1355</v>
      </c>
      <c r="E458" s="17" t="s">
        <v>1325</v>
      </c>
      <c r="F458" s="19"/>
      <c r="G458" s="20">
        <v>1.0</v>
      </c>
      <c r="H458" s="21">
        <v>231.0</v>
      </c>
      <c r="I458" s="21">
        <v>150.0</v>
      </c>
      <c r="J458" s="22">
        <v>1236.0</v>
      </c>
      <c r="K458" s="50"/>
      <c r="L458" s="21" t="str">
        <f>IF(K458&gt;0,K458*I458,"")</f>
      </c>
      <c r="M458" s="52"/>
      <c r="N458" t="str">
        <f>IF(K458&gt;0,COUNTIF($K$7:K458,"&gt;0"),"")</f>
      </c>
      <c r="O458" t="s">
        <v>1356</v>
      </c>
      <c r="P458" t="s">
        <v>1354</v>
      </c>
    </row>
    <row r="459" spans="1:16" customHeight="1" ht="58">
      <c r="A459" s="16"/>
      <c r="B459" s="18" t="s">
        <v>1322</v>
      </c>
      <c r="C459" s="17" t="s">
        <v>1323</v>
      </c>
      <c r="D459" s="17" t="s">
        <v>1358</v>
      </c>
      <c r="E459" s="17" t="s">
        <v>1325</v>
      </c>
      <c r="F459" s="19"/>
      <c r="G459" s="20">
        <v>1.0</v>
      </c>
      <c r="H459" s="21">
        <v>231.0</v>
      </c>
      <c r="I459" s="21">
        <v>150.0</v>
      </c>
      <c r="J459" s="22">
        <v>118.0</v>
      </c>
      <c r="K459" s="50"/>
      <c r="L459" s="21" t="str">
        <f>IF(K459&gt;0,K459*I459,"")</f>
      </c>
      <c r="M459" s="52"/>
      <c r="N459" t="str">
        <f>IF(K459&gt;0,COUNTIF($K$7:K459,"&gt;0"),"")</f>
      </c>
      <c r="O459" t="s">
        <v>1359</v>
      </c>
      <c r="P459" t="s">
        <v>1357</v>
      </c>
    </row>
    <row r="460" spans="1:16" customHeight="1" ht="58">
      <c r="A460" s="16"/>
      <c r="B460" s="18" t="s">
        <v>1322</v>
      </c>
      <c r="C460" s="17" t="s">
        <v>1323</v>
      </c>
      <c r="D460" s="17" t="s">
        <v>1361</v>
      </c>
      <c r="E460" s="17" t="s">
        <v>1325</v>
      </c>
      <c r="F460" s="19"/>
      <c r="G460" s="20">
        <v>1.0</v>
      </c>
      <c r="H460" s="21">
        <v>231.0</v>
      </c>
      <c r="I460" s="21">
        <v>150.0</v>
      </c>
      <c r="J460" s="22">
        <v>702.0</v>
      </c>
      <c r="K460" s="50"/>
      <c r="L460" s="21" t="str">
        <f>IF(K460&gt;0,K460*I460,"")</f>
      </c>
      <c r="M460" s="52"/>
      <c r="N460" t="str">
        <f>IF(K460&gt;0,COUNTIF($K$7:K460,"&gt;0"),"")</f>
      </c>
      <c r="O460" t="s">
        <v>1362</v>
      </c>
      <c r="P460" t="s">
        <v>1360</v>
      </c>
    </row>
    <row r="461" spans="1:16" customHeight="1" ht="58">
      <c r="A461" s="16"/>
      <c r="B461" s="18" t="s">
        <v>1322</v>
      </c>
      <c r="C461" s="17" t="s">
        <v>1323</v>
      </c>
      <c r="D461" s="17" t="s">
        <v>1364</v>
      </c>
      <c r="E461" s="17" t="s">
        <v>1325</v>
      </c>
      <c r="F461" s="19"/>
      <c r="G461" s="20">
        <v>1.0</v>
      </c>
      <c r="H461" s="21">
        <v>231.0</v>
      </c>
      <c r="I461" s="21">
        <v>150.0</v>
      </c>
      <c r="J461" s="22">
        <v>744.0</v>
      </c>
      <c r="K461" s="50"/>
      <c r="L461" s="21" t="str">
        <f>IF(K461&gt;0,K461*I461,"")</f>
      </c>
      <c r="M461" s="52"/>
      <c r="N461" t="str">
        <f>IF(K461&gt;0,COUNTIF($K$7:K461,"&gt;0"),"")</f>
      </c>
      <c r="O461" t="s">
        <v>1365</v>
      </c>
      <c r="P461" t="s">
        <v>1363</v>
      </c>
    </row>
    <row r="462" spans="1:16" customHeight="1" ht="58">
      <c r="A462" s="16"/>
      <c r="B462" s="18" t="s">
        <v>1322</v>
      </c>
      <c r="C462" s="17" t="s">
        <v>1323</v>
      </c>
      <c r="D462" s="17" t="s">
        <v>1367</v>
      </c>
      <c r="E462" s="17" t="s">
        <v>1325</v>
      </c>
      <c r="F462" s="19"/>
      <c r="G462" s="20">
        <v>1.0</v>
      </c>
      <c r="H462" s="21">
        <v>231.0</v>
      </c>
      <c r="I462" s="21">
        <v>150.0</v>
      </c>
      <c r="J462" s="22">
        <v>1042.0</v>
      </c>
      <c r="K462" s="50"/>
      <c r="L462" s="21" t="str">
        <f>IF(K462&gt;0,K462*I462,"")</f>
      </c>
      <c r="M462" s="52"/>
      <c r="N462" t="str">
        <f>IF(K462&gt;0,COUNTIF($K$7:K462,"&gt;0"),"")</f>
      </c>
      <c r="O462" t="s">
        <v>1368</v>
      </c>
      <c r="P462" t="s">
        <v>1366</v>
      </c>
    </row>
    <row r="463" spans="1:16" customHeight="1" ht="58">
      <c r="A463" s="16"/>
      <c r="B463" s="18" t="s">
        <v>1322</v>
      </c>
      <c r="C463" s="17" t="s">
        <v>1323</v>
      </c>
      <c r="D463" s="17" t="s">
        <v>1370</v>
      </c>
      <c r="E463" s="17" t="s">
        <v>1325</v>
      </c>
      <c r="F463" s="19"/>
      <c r="G463" s="20">
        <v>1.0</v>
      </c>
      <c r="H463" s="21">
        <v>231.0</v>
      </c>
      <c r="I463" s="21">
        <v>150.0</v>
      </c>
      <c r="J463" s="22">
        <v>988.0</v>
      </c>
      <c r="K463" s="50"/>
      <c r="L463" s="21" t="str">
        <f>IF(K463&gt;0,K463*I463,"")</f>
      </c>
      <c r="M463" s="52"/>
      <c r="N463" t="str">
        <f>IF(K463&gt;0,COUNTIF($K$7:K463,"&gt;0"),"")</f>
      </c>
      <c r="O463" t="s">
        <v>1371</v>
      </c>
      <c r="P463" t="s">
        <v>1369</v>
      </c>
    </row>
    <row r="464" spans="1:16" customHeight="1" ht="58">
      <c r="A464" s="16"/>
      <c r="B464" s="18" t="s">
        <v>1322</v>
      </c>
      <c r="C464" s="17" t="s">
        <v>1323</v>
      </c>
      <c r="D464" s="17" t="s">
        <v>1373</v>
      </c>
      <c r="E464" s="17" t="s">
        <v>1325</v>
      </c>
      <c r="F464" s="19"/>
      <c r="G464" s="20">
        <v>1.0</v>
      </c>
      <c r="H464" s="21">
        <v>231.0</v>
      </c>
      <c r="I464" s="21">
        <v>150.0</v>
      </c>
      <c r="J464" s="22">
        <v>803.0</v>
      </c>
      <c r="K464" s="50"/>
      <c r="L464" s="21" t="str">
        <f>IF(K464&gt;0,K464*I464,"")</f>
      </c>
      <c r="M464" s="52"/>
      <c r="N464" t="str">
        <f>IF(K464&gt;0,COUNTIF($K$7:K464,"&gt;0"),"")</f>
      </c>
      <c r="O464" t="s">
        <v>1374</v>
      </c>
      <c r="P464" t="s">
        <v>1372</v>
      </c>
    </row>
    <row r="465" spans="1:16" customHeight="1" ht="58">
      <c r="A465" s="16"/>
      <c r="B465" s="18" t="s">
        <v>1322</v>
      </c>
      <c r="C465" s="17" t="s">
        <v>1323</v>
      </c>
      <c r="D465" s="17" t="s">
        <v>1376</v>
      </c>
      <c r="E465" s="17" t="s">
        <v>1325</v>
      </c>
      <c r="F465" s="19"/>
      <c r="G465" s="20">
        <v>1.0</v>
      </c>
      <c r="H465" s="21">
        <v>231.0</v>
      </c>
      <c r="I465" s="21">
        <v>150.0</v>
      </c>
      <c r="J465" s="22">
        <v>858.0</v>
      </c>
      <c r="K465" s="50"/>
      <c r="L465" s="21" t="str">
        <f>IF(K465&gt;0,K465*I465,"")</f>
      </c>
      <c r="M465" s="52"/>
      <c r="N465" t="str">
        <f>IF(K465&gt;0,COUNTIF($K$7:K465,"&gt;0"),"")</f>
      </c>
      <c r="O465" t="s">
        <v>1377</v>
      </c>
      <c r="P465" t="s">
        <v>1375</v>
      </c>
    </row>
    <row r="466" spans="1:16" customHeight="1" ht="58">
      <c r="A466" s="16"/>
      <c r="B466" s="18" t="s">
        <v>1322</v>
      </c>
      <c r="C466" s="17" t="s">
        <v>1323</v>
      </c>
      <c r="D466" s="17" t="s">
        <v>1379</v>
      </c>
      <c r="E466" s="17" t="s">
        <v>1325</v>
      </c>
      <c r="F466" s="19"/>
      <c r="G466" s="20">
        <v>1.0</v>
      </c>
      <c r="H466" s="21">
        <v>231.0</v>
      </c>
      <c r="I466" s="21">
        <v>150.0</v>
      </c>
      <c r="J466" s="22">
        <v>362.0</v>
      </c>
      <c r="K466" s="50"/>
      <c r="L466" s="21" t="str">
        <f>IF(K466&gt;0,K466*I466,"")</f>
      </c>
      <c r="M466" s="52"/>
      <c r="N466" t="str">
        <f>IF(K466&gt;0,COUNTIF($K$7:K466,"&gt;0"),"")</f>
      </c>
      <c r="O466" t="s">
        <v>1380</v>
      </c>
      <c r="P466" t="s">
        <v>1378</v>
      </c>
    </row>
    <row r="467" spans="1:16" customHeight="1" ht="58">
      <c r="A467" s="16"/>
      <c r="B467" s="18" t="s">
        <v>1322</v>
      </c>
      <c r="C467" s="17" t="s">
        <v>1323</v>
      </c>
      <c r="D467" s="17" t="s">
        <v>1382</v>
      </c>
      <c r="E467" s="17" t="s">
        <v>1325</v>
      </c>
      <c r="F467" s="19"/>
      <c r="G467" s="20">
        <v>1.0</v>
      </c>
      <c r="H467" s="21">
        <v>231.0</v>
      </c>
      <c r="I467" s="21">
        <v>150.0</v>
      </c>
      <c r="J467" s="22">
        <v>1043.0</v>
      </c>
      <c r="K467" s="50"/>
      <c r="L467" s="21" t="str">
        <f>IF(K467&gt;0,K467*I467,"")</f>
      </c>
      <c r="M467" s="52"/>
      <c r="N467" t="str">
        <f>IF(K467&gt;0,COUNTIF($K$7:K467,"&gt;0"),"")</f>
      </c>
      <c r="O467" t="s">
        <v>1383</v>
      </c>
      <c r="P467" t="s">
        <v>1381</v>
      </c>
    </row>
    <row r="468" spans="1:16" customHeight="1" ht="58">
      <c r="A468" s="16"/>
      <c r="B468" s="18" t="s">
        <v>1322</v>
      </c>
      <c r="C468" s="17" t="s">
        <v>1323</v>
      </c>
      <c r="D468" s="17" t="s">
        <v>1385</v>
      </c>
      <c r="E468" s="17" t="s">
        <v>1325</v>
      </c>
      <c r="F468" s="19"/>
      <c r="G468" s="20">
        <v>1.0</v>
      </c>
      <c r="H468" s="21">
        <v>231.0</v>
      </c>
      <c r="I468" s="21">
        <v>150.0</v>
      </c>
      <c r="J468" s="22">
        <v>661.0</v>
      </c>
      <c r="K468" s="50"/>
      <c r="L468" s="21" t="str">
        <f>IF(K468&gt;0,K468*I468,"")</f>
      </c>
      <c r="M468" s="52"/>
      <c r="N468" t="str">
        <f>IF(K468&gt;0,COUNTIF($K$7:K468,"&gt;0"),"")</f>
      </c>
      <c r="O468" t="s">
        <v>1386</v>
      </c>
      <c r="P468" t="s">
        <v>1384</v>
      </c>
    </row>
    <row r="469" spans="1:16" customHeight="1" ht="58">
      <c r="A469" s="16"/>
      <c r="B469" s="18" t="s">
        <v>1322</v>
      </c>
      <c r="C469" s="17" t="s">
        <v>1323</v>
      </c>
      <c r="D469" s="17" t="s">
        <v>1388</v>
      </c>
      <c r="E469" s="17" t="s">
        <v>1325</v>
      </c>
      <c r="F469" s="19"/>
      <c r="G469" s="20">
        <v>1.0</v>
      </c>
      <c r="H469" s="21">
        <v>231.0</v>
      </c>
      <c r="I469" s="21">
        <v>150.0</v>
      </c>
      <c r="J469" s="22">
        <v>1078.0</v>
      </c>
      <c r="K469" s="50"/>
      <c r="L469" s="21" t="str">
        <f>IF(K469&gt;0,K469*I469,"")</f>
      </c>
      <c r="M469" s="52"/>
      <c r="N469" t="str">
        <f>IF(K469&gt;0,COUNTIF($K$7:K469,"&gt;0"),"")</f>
      </c>
      <c r="O469" t="s">
        <v>1389</v>
      </c>
      <c r="P469" t="s">
        <v>1387</v>
      </c>
    </row>
    <row r="470" spans="1:16" customHeight="1" ht="58">
      <c r="A470" s="16"/>
      <c r="B470" s="18" t="s">
        <v>1322</v>
      </c>
      <c r="C470" s="17" t="s">
        <v>1323</v>
      </c>
      <c r="D470" s="17" t="s">
        <v>1391</v>
      </c>
      <c r="E470" s="17" t="s">
        <v>1325</v>
      </c>
      <c r="F470" s="19"/>
      <c r="G470" s="20">
        <v>1.0</v>
      </c>
      <c r="H470" s="21">
        <v>231.0</v>
      </c>
      <c r="I470" s="21">
        <v>150.0</v>
      </c>
      <c r="J470" s="22">
        <v>776.0</v>
      </c>
      <c r="K470" s="50"/>
      <c r="L470" s="21" t="str">
        <f>IF(K470&gt;0,K470*I470,"")</f>
      </c>
      <c r="M470" s="52"/>
      <c r="N470" t="str">
        <f>IF(K470&gt;0,COUNTIF($K$7:K470,"&gt;0"),"")</f>
      </c>
      <c r="O470" t="s">
        <v>1392</v>
      </c>
      <c r="P470" t="s">
        <v>1390</v>
      </c>
    </row>
    <row r="471" spans="1:16" customHeight="1" ht="58">
      <c r="A471" s="16"/>
      <c r="B471" s="18" t="s">
        <v>1322</v>
      </c>
      <c r="C471" s="17" t="s">
        <v>1323</v>
      </c>
      <c r="D471" s="17" t="s">
        <v>1394</v>
      </c>
      <c r="E471" s="17" t="s">
        <v>1325</v>
      </c>
      <c r="F471" s="19"/>
      <c r="G471" s="20">
        <v>1.0</v>
      </c>
      <c r="H471" s="21">
        <v>231.0</v>
      </c>
      <c r="I471" s="21">
        <v>150.0</v>
      </c>
      <c r="J471" s="22">
        <v>23.0</v>
      </c>
      <c r="K471" s="50"/>
      <c r="L471" s="21" t="str">
        <f>IF(K471&gt;0,K471*I471,"")</f>
      </c>
      <c r="M471" s="52"/>
      <c r="N471" t="str">
        <f>IF(K471&gt;0,COUNTIF($K$7:K471,"&gt;0"),"")</f>
      </c>
      <c r="O471" t="s">
        <v>1395</v>
      </c>
      <c r="P471" t="s">
        <v>1393</v>
      </c>
    </row>
    <row r="472" spans="1:16" customHeight="1" ht="58">
      <c r="A472" s="16"/>
      <c r="B472" s="18" t="s">
        <v>1322</v>
      </c>
      <c r="C472" s="17" t="s">
        <v>1323</v>
      </c>
      <c r="D472" s="17" t="s">
        <v>1397</v>
      </c>
      <c r="E472" s="17" t="s">
        <v>1325</v>
      </c>
      <c r="F472" s="19"/>
      <c r="G472" s="20">
        <v>1.0</v>
      </c>
      <c r="H472" s="21">
        <v>231.0</v>
      </c>
      <c r="I472" s="21">
        <v>150.0</v>
      </c>
      <c r="J472" s="22">
        <v>759.0</v>
      </c>
      <c r="K472" s="50"/>
      <c r="L472" s="21" t="str">
        <f>IF(K472&gt;0,K472*I472,"")</f>
      </c>
      <c r="M472" s="52"/>
      <c r="N472" t="str">
        <f>IF(K472&gt;0,COUNTIF($K$7:K472,"&gt;0"),"")</f>
      </c>
      <c r="O472" t="s">
        <v>1398</v>
      </c>
      <c r="P472" t="s">
        <v>1396</v>
      </c>
    </row>
    <row r="473" spans="1:16" customHeight="1" ht="58">
      <c r="A473" s="16"/>
      <c r="B473" s="18" t="s">
        <v>1322</v>
      </c>
      <c r="C473" s="17" t="s">
        <v>1323</v>
      </c>
      <c r="D473" s="17" t="s">
        <v>1400</v>
      </c>
      <c r="E473" s="17" t="s">
        <v>1325</v>
      </c>
      <c r="F473" s="19"/>
      <c r="G473" s="20">
        <v>1.0</v>
      </c>
      <c r="H473" s="21">
        <v>231.0</v>
      </c>
      <c r="I473" s="21">
        <v>150.0</v>
      </c>
      <c r="J473" s="22">
        <v>33.0</v>
      </c>
      <c r="K473" s="50"/>
      <c r="L473" s="21" t="str">
        <f>IF(K473&gt;0,K473*I473,"")</f>
      </c>
      <c r="M473" s="52"/>
      <c r="N473" t="str">
        <f>IF(K473&gt;0,COUNTIF($K$7:K473,"&gt;0"),"")</f>
      </c>
      <c r="O473" t="s">
        <v>1401</v>
      </c>
      <c r="P473" t="s">
        <v>1399</v>
      </c>
    </row>
    <row r="474" spans="1:16" customHeight="1" ht="58">
      <c r="A474" s="16"/>
      <c r="B474" s="18" t="s">
        <v>1322</v>
      </c>
      <c r="C474" s="17" t="s">
        <v>1323</v>
      </c>
      <c r="D474" s="17" t="s">
        <v>1403</v>
      </c>
      <c r="E474" s="17" t="s">
        <v>1325</v>
      </c>
      <c r="F474" s="19"/>
      <c r="G474" s="20">
        <v>1.0</v>
      </c>
      <c r="H474" s="21">
        <v>231.0</v>
      </c>
      <c r="I474" s="21">
        <v>150.0</v>
      </c>
      <c r="J474" s="22">
        <v>1350.0</v>
      </c>
      <c r="K474" s="50"/>
      <c r="L474" s="21" t="str">
        <f>IF(K474&gt;0,K474*I474,"")</f>
      </c>
      <c r="M474" s="52"/>
      <c r="N474" t="str">
        <f>IF(K474&gt;0,COUNTIF($K$7:K474,"&gt;0"),"")</f>
      </c>
      <c r="O474" t="s">
        <v>1404</v>
      </c>
      <c r="P474" t="s">
        <v>1402</v>
      </c>
    </row>
    <row r="475" spans="1:16" customHeight="1" ht="58">
      <c r="A475" s="16"/>
      <c r="B475" s="18" t="s">
        <v>1322</v>
      </c>
      <c r="C475" s="17" t="s">
        <v>1323</v>
      </c>
      <c r="D475" s="17" t="s">
        <v>1406</v>
      </c>
      <c r="E475" s="17" t="s">
        <v>1325</v>
      </c>
      <c r="F475" s="19"/>
      <c r="G475" s="20">
        <v>1.0</v>
      </c>
      <c r="H475" s="21">
        <v>231.0</v>
      </c>
      <c r="I475" s="21">
        <v>150.0</v>
      </c>
      <c r="J475" s="22">
        <v>1608.0</v>
      </c>
      <c r="K475" s="50"/>
      <c r="L475" s="21" t="str">
        <f>IF(K475&gt;0,K475*I475,"")</f>
      </c>
      <c r="M475" s="52"/>
      <c r="N475" t="str">
        <f>IF(K475&gt;0,COUNTIF($K$7:K475,"&gt;0"),"")</f>
      </c>
      <c r="O475" t="s">
        <v>1407</v>
      </c>
      <c r="P475" t="s">
        <v>1405</v>
      </c>
    </row>
    <row r="476" spans="1:16" customHeight="1" ht="58">
      <c r="A476" s="16"/>
      <c r="B476" s="18" t="s">
        <v>1322</v>
      </c>
      <c r="C476" s="17" t="s">
        <v>1323</v>
      </c>
      <c r="D476" s="17" t="s">
        <v>1409</v>
      </c>
      <c r="E476" s="17" t="s">
        <v>1325</v>
      </c>
      <c r="F476" s="19"/>
      <c r="G476" s="20">
        <v>1.0</v>
      </c>
      <c r="H476" s="21">
        <v>231.0</v>
      </c>
      <c r="I476" s="21">
        <v>150.0</v>
      </c>
      <c r="J476" s="22">
        <v>1105.0</v>
      </c>
      <c r="K476" s="50"/>
      <c r="L476" s="21" t="str">
        <f>IF(K476&gt;0,K476*I476,"")</f>
      </c>
      <c r="M476" s="52"/>
      <c r="N476" t="str">
        <f>IF(K476&gt;0,COUNTIF($K$7:K476,"&gt;0"),"")</f>
      </c>
      <c r="O476" t="s">
        <v>1410</v>
      </c>
      <c r="P476" t="s">
        <v>1408</v>
      </c>
    </row>
    <row r="477" spans="1:16" customHeight="1" ht="58">
      <c r="A477" s="16"/>
      <c r="B477" s="18" t="s">
        <v>1322</v>
      </c>
      <c r="C477" s="17" t="s">
        <v>1323</v>
      </c>
      <c r="D477" s="17" t="s">
        <v>1412</v>
      </c>
      <c r="E477" s="17" t="s">
        <v>1325</v>
      </c>
      <c r="F477" s="19"/>
      <c r="G477" s="20">
        <v>1.0</v>
      </c>
      <c r="H477" s="21">
        <v>231.0</v>
      </c>
      <c r="I477" s="21">
        <v>150.0</v>
      </c>
      <c r="J477" s="22">
        <v>1132.0</v>
      </c>
      <c r="K477" s="50"/>
      <c r="L477" s="21" t="str">
        <f>IF(K477&gt;0,K477*I477,"")</f>
      </c>
      <c r="M477" s="52"/>
      <c r="N477" t="str">
        <f>IF(K477&gt;0,COUNTIF($K$7:K477,"&gt;0"),"")</f>
      </c>
      <c r="O477" t="s">
        <v>1413</v>
      </c>
      <c r="P477" t="s">
        <v>1411</v>
      </c>
    </row>
    <row r="478" spans="1:16" customHeight="1" ht="58">
      <c r="A478" s="16"/>
      <c r="B478" s="18" t="s">
        <v>1415</v>
      </c>
      <c r="C478" s="17" t="s">
        <v>1416</v>
      </c>
      <c r="D478" s="17" t="s">
        <v>1417</v>
      </c>
      <c r="E478" s="17" t="s">
        <v>1325</v>
      </c>
      <c r="F478" s="19"/>
      <c r="G478" s="20">
        <v>1.0</v>
      </c>
      <c r="H478" s="21">
        <v>220.0</v>
      </c>
      <c r="I478" s="21">
        <v>143.0</v>
      </c>
      <c r="J478" s="22">
        <v>1647.0</v>
      </c>
      <c r="K478" s="50"/>
      <c r="L478" s="21" t="str">
        <f>IF(K478&gt;0,K478*I478,"")</f>
      </c>
      <c r="M478" s="52"/>
      <c r="N478" t="str">
        <f>IF(K478&gt;0,COUNTIF($K$7:K478,"&gt;0"),"")</f>
      </c>
      <c r="O478" t="s">
        <v>1418</v>
      </c>
      <c r="P478" t="s">
        <v>1414</v>
      </c>
    </row>
    <row r="479" spans="1:16" customHeight="1" ht="58">
      <c r="A479" s="16"/>
      <c r="B479" s="18" t="s">
        <v>1415</v>
      </c>
      <c r="C479" s="17" t="s">
        <v>1416</v>
      </c>
      <c r="D479" s="17" t="s">
        <v>1420</v>
      </c>
      <c r="E479" s="17" t="s">
        <v>1325</v>
      </c>
      <c r="F479" s="19"/>
      <c r="G479" s="20">
        <v>1.0</v>
      </c>
      <c r="H479" s="21">
        <v>220.0</v>
      </c>
      <c r="I479" s="21">
        <v>143.0</v>
      </c>
      <c r="J479" s="22">
        <v>2595.0</v>
      </c>
      <c r="K479" s="50"/>
      <c r="L479" s="21" t="str">
        <f>IF(K479&gt;0,K479*I479,"")</f>
      </c>
      <c r="M479" s="52"/>
      <c r="N479" t="str">
        <f>IF(K479&gt;0,COUNTIF($K$7:K479,"&gt;0"),"")</f>
      </c>
      <c r="O479" t="s">
        <v>1421</v>
      </c>
      <c r="P479" t="s">
        <v>1419</v>
      </c>
    </row>
    <row r="480" spans="1:16" customHeight="1" ht="58">
      <c r="A480" s="16"/>
      <c r="B480" s="18" t="s">
        <v>1415</v>
      </c>
      <c r="C480" s="17" t="s">
        <v>1416</v>
      </c>
      <c r="D480" s="17" t="s">
        <v>1423</v>
      </c>
      <c r="E480" s="17" t="s">
        <v>1325</v>
      </c>
      <c r="F480" s="19"/>
      <c r="G480" s="20">
        <v>1.0</v>
      </c>
      <c r="H480" s="21">
        <v>220.0</v>
      </c>
      <c r="I480" s="21">
        <v>143.0</v>
      </c>
      <c r="J480" s="22">
        <v>4027.0</v>
      </c>
      <c r="K480" s="50"/>
      <c r="L480" s="21" t="str">
        <f>IF(K480&gt;0,K480*I480,"")</f>
      </c>
      <c r="M480" s="52"/>
      <c r="N480" t="str">
        <f>IF(K480&gt;0,COUNTIF($K$7:K480,"&gt;0"),"")</f>
      </c>
      <c r="O480" t="s">
        <v>1424</v>
      </c>
      <c r="P480" t="s">
        <v>1422</v>
      </c>
    </row>
    <row r="481" spans="1:16" customHeight="1" ht="58">
      <c r="A481" s="16"/>
      <c r="B481" s="18" t="s">
        <v>1415</v>
      </c>
      <c r="C481" s="17" t="s">
        <v>1416</v>
      </c>
      <c r="D481" s="17" t="s">
        <v>1426</v>
      </c>
      <c r="E481" s="17" t="s">
        <v>1325</v>
      </c>
      <c r="F481" s="19"/>
      <c r="G481" s="20">
        <v>1.0</v>
      </c>
      <c r="H481" s="21">
        <v>220.0</v>
      </c>
      <c r="I481" s="21">
        <v>143.0</v>
      </c>
      <c r="J481" s="22">
        <v>1323.0</v>
      </c>
      <c r="K481" s="50"/>
      <c r="L481" s="21" t="str">
        <f>IF(K481&gt;0,K481*I481,"")</f>
      </c>
      <c r="M481" s="52"/>
      <c r="N481" t="str">
        <f>IF(K481&gt;0,COUNTIF($K$7:K481,"&gt;0"),"")</f>
      </c>
      <c r="O481" t="s">
        <v>1427</v>
      </c>
      <c r="P481" t="s">
        <v>1425</v>
      </c>
    </row>
    <row r="482" spans="1:16" customHeight="1" ht="58">
      <c r="A482" s="16"/>
      <c r="B482" s="18" t="s">
        <v>1415</v>
      </c>
      <c r="C482" s="17" t="s">
        <v>1416</v>
      </c>
      <c r="D482" s="17" t="s">
        <v>1429</v>
      </c>
      <c r="E482" s="17" t="s">
        <v>1325</v>
      </c>
      <c r="F482" s="19"/>
      <c r="G482" s="20">
        <v>1.0</v>
      </c>
      <c r="H482" s="21">
        <v>220.0</v>
      </c>
      <c r="I482" s="21">
        <v>143.0</v>
      </c>
      <c r="J482" s="22">
        <v>1283.0</v>
      </c>
      <c r="K482" s="50"/>
      <c r="L482" s="21" t="str">
        <f>IF(K482&gt;0,K482*I482,"")</f>
      </c>
      <c r="M482" s="52"/>
      <c r="N482" t="str">
        <f>IF(K482&gt;0,COUNTIF($K$7:K482,"&gt;0"),"")</f>
      </c>
      <c r="O482" t="s">
        <v>1430</v>
      </c>
      <c r="P482" t="s">
        <v>1428</v>
      </c>
    </row>
    <row r="483" spans="1:16" customHeight="1" ht="58">
      <c r="A483" s="16"/>
      <c r="B483" s="18" t="s">
        <v>1415</v>
      </c>
      <c r="C483" s="17" t="s">
        <v>1416</v>
      </c>
      <c r="D483" s="17" t="s">
        <v>1432</v>
      </c>
      <c r="E483" s="17" t="s">
        <v>1325</v>
      </c>
      <c r="F483" s="19"/>
      <c r="G483" s="20">
        <v>1.0</v>
      </c>
      <c r="H483" s="21">
        <v>220.0</v>
      </c>
      <c r="I483" s="21">
        <v>143.0</v>
      </c>
      <c r="J483" s="22">
        <v>3233.0</v>
      </c>
      <c r="K483" s="50"/>
      <c r="L483" s="21" t="str">
        <f>IF(K483&gt;0,K483*I483,"")</f>
      </c>
      <c r="M483" s="52"/>
      <c r="N483" t="str">
        <f>IF(K483&gt;0,COUNTIF($K$7:K483,"&gt;0"),"")</f>
      </c>
      <c r="O483" t="s">
        <v>1433</v>
      </c>
      <c r="P483" t="s">
        <v>1431</v>
      </c>
    </row>
    <row r="484" spans="1:16" customHeight="1" ht="58">
      <c r="A484" s="16"/>
      <c r="B484" s="18" t="s">
        <v>1415</v>
      </c>
      <c r="C484" s="17" t="s">
        <v>1416</v>
      </c>
      <c r="D484" s="17" t="s">
        <v>1435</v>
      </c>
      <c r="E484" s="17" t="s">
        <v>1325</v>
      </c>
      <c r="F484" s="19"/>
      <c r="G484" s="20">
        <v>1.0</v>
      </c>
      <c r="H484" s="21">
        <v>220.0</v>
      </c>
      <c r="I484" s="21">
        <v>143.0</v>
      </c>
      <c r="J484" s="22">
        <v>1218.0</v>
      </c>
      <c r="K484" s="50"/>
      <c r="L484" s="21" t="str">
        <f>IF(K484&gt;0,K484*I484,"")</f>
      </c>
      <c r="M484" s="52"/>
      <c r="N484" t="str">
        <f>IF(K484&gt;0,COUNTIF($K$7:K484,"&gt;0"),"")</f>
      </c>
      <c r="O484" t="s">
        <v>1436</v>
      </c>
      <c r="P484" t="s">
        <v>1434</v>
      </c>
    </row>
    <row r="485" spans="1:16" customHeight="1" ht="58">
      <c r="A485" s="16"/>
      <c r="B485" s="18" t="s">
        <v>1415</v>
      </c>
      <c r="C485" s="17" t="s">
        <v>1416</v>
      </c>
      <c r="D485" s="17" t="s">
        <v>1438</v>
      </c>
      <c r="E485" s="17" t="s">
        <v>1325</v>
      </c>
      <c r="F485" s="19"/>
      <c r="G485" s="20">
        <v>1.0</v>
      </c>
      <c r="H485" s="21">
        <v>220.0</v>
      </c>
      <c r="I485" s="21">
        <v>143.0</v>
      </c>
      <c r="J485" s="22">
        <v>975.0</v>
      </c>
      <c r="K485" s="50"/>
      <c r="L485" s="21" t="str">
        <f>IF(K485&gt;0,K485*I485,"")</f>
      </c>
      <c r="M485" s="52"/>
      <c r="N485" t="str">
        <f>IF(K485&gt;0,COUNTIF($K$7:K485,"&gt;0"),"")</f>
      </c>
      <c r="O485" t="s">
        <v>1439</v>
      </c>
      <c r="P485" t="s">
        <v>1437</v>
      </c>
    </row>
    <row r="486" spans="1:16" customHeight="1" ht="58">
      <c r="A486" s="16"/>
      <c r="B486" s="18" t="s">
        <v>1415</v>
      </c>
      <c r="C486" s="17" t="s">
        <v>1416</v>
      </c>
      <c r="D486" s="17" t="s">
        <v>1441</v>
      </c>
      <c r="E486" s="17" t="s">
        <v>1325</v>
      </c>
      <c r="F486" s="19"/>
      <c r="G486" s="20">
        <v>1.0</v>
      </c>
      <c r="H486" s="21">
        <v>220.0</v>
      </c>
      <c r="I486" s="21">
        <v>143.0</v>
      </c>
      <c r="J486" s="22">
        <v>1108.0</v>
      </c>
      <c r="K486" s="50"/>
      <c r="L486" s="21" t="str">
        <f>IF(K486&gt;0,K486*I486,"")</f>
      </c>
      <c r="M486" s="52"/>
      <c r="N486" t="str">
        <f>IF(K486&gt;0,COUNTIF($K$7:K486,"&gt;0"),"")</f>
      </c>
      <c r="O486" t="s">
        <v>1442</v>
      </c>
      <c r="P486" t="s">
        <v>1440</v>
      </c>
    </row>
    <row r="487" spans="1:16" customHeight="1" ht="58">
      <c r="A487" s="16"/>
      <c r="B487" s="18" t="s">
        <v>1415</v>
      </c>
      <c r="C487" s="17" t="s">
        <v>1416</v>
      </c>
      <c r="D487" s="17" t="s">
        <v>1444</v>
      </c>
      <c r="E487" s="17" t="s">
        <v>1325</v>
      </c>
      <c r="F487" s="19"/>
      <c r="G487" s="20">
        <v>1.0</v>
      </c>
      <c r="H487" s="21">
        <v>220.0</v>
      </c>
      <c r="I487" s="21">
        <v>143.0</v>
      </c>
      <c r="J487" s="22">
        <v>2478.0</v>
      </c>
      <c r="K487" s="50"/>
      <c r="L487" s="21" t="str">
        <f>IF(K487&gt;0,K487*I487,"")</f>
      </c>
      <c r="M487" s="52"/>
      <c r="N487" t="str">
        <f>IF(K487&gt;0,COUNTIF($K$7:K487,"&gt;0"),"")</f>
      </c>
      <c r="O487" t="s">
        <v>1445</v>
      </c>
      <c r="P487" t="s">
        <v>1443</v>
      </c>
    </row>
    <row r="488" spans="1:16" customHeight="1" ht="58">
      <c r="A488" s="16"/>
      <c r="B488" s="18" t="s">
        <v>1415</v>
      </c>
      <c r="C488" s="17" t="s">
        <v>1416</v>
      </c>
      <c r="D488" s="17" t="s">
        <v>1447</v>
      </c>
      <c r="E488" s="17" t="s">
        <v>1325</v>
      </c>
      <c r="F488" s="19"/>
      <c r="G488" s="20">
        <v>1.0</v>
      </c>
      <c r="H488" s="21">
        <v>220.0</v>
      </c>
      <c r="I488" s="21">
        <v>143.0</v>
      </c>
      <c r="J488" s="22">
        <v>1370.0</v>
      </c>
      <c r="K488" s="50"/>
      <c r="L488" s="21" t="str">
        <f>IF(K488&gt;0,K488*I488,"")</f>
      </c>
      <c r="M488" s="52"/>
      <c r="N488" t="str">
        <f>IF(K488&gt;0,COUNTIF($K$7:K488,"&gt;0"),"")</f>
      </c>
      <c r="O488" t="s">
        <v>1448</v>
      </c>
      <c r="P488" t="s">
        <v>1446</v>
      </c>
    </row>
    <row r="489" spans="1:16" customHeight="1" ht="58">
      <c r="A489" s="16"/>
      <c r="B489" s="18" t="s">
        <v>1415</v>
      </c>
      <c r="C489" s="17" t="s">
        <v>1416</v>
      </c>
      <c r="D489" s="17" t="s">
        <v>1450</v>
      </c>
      <c r="E489" s="17" t="s">
        <v>1325</v>
      </c>
      <c r="F489" s="19"/>
      <c r="G489" s="20">
        <v>1.0</v>
      </c>
      <c r="H489" s="21">
        <v>220.0</v>
      </c>
      <c r="I489" s="21">
        <v>143.0</v>
      </c>
      <c r="J489" s="22">
        <v>1147.0</v>
      </c>
      <c r="K489" s="50"/>
      <c r="L489" s="21" t="str">
        <f>IF(K489&gt;0,K489*I489,"")</f>
      </c>
      <c r="M489" s="52"/>
      <c r="N489" t="str">
        <f>IF(K489&gt;0,COUNTIF($K$7:K489,"&gt;0"),"")</f>
      </c>
      <c r="O489" t="s">
        <v>1451</v>
      </c>
      <c r="P489" t="s">
        <v>1449</v>
      </c>
    </row>
    <row r="490" spans="1:16" customHeight="1" ht="58">
      <c r="A490" s="16"/>
      <c r="B490" s="18" t="s">
        <v>1415</v>
      </c>
      <c r="C490" s="17" t="s">
        <v>1416</v>
      </c>
      <c r="D490" s="17" t="s">
        <v>1453</v>
      </c>
      <c r="E490" s="17" t="s">
        <v>1325</v>
      </c>
      <c r="F490" s="19"/>
      <c r="G490" s="20">
        <v>1.0</v>
      </c>
      <c r="H490" s="21">
        <v>220.0</v>
      </c>
      <c r="I490" s="21">
        <v>143.0</v>
      </c>
      <c r="J490" s="22">
        <v>1335.0</v>
      </c>
      <c r="K490" s="50"/>
      <c r="L490" s="21" t="str">
        <f>IF(K490&gt;0,K490*I490,"")</f>
      </c>
      <c r="M490" s="52"/>
      <c r="N490" t="str">
        <f>IF(K490&gt;0,COUNTIF($K$7:K490,"&gt;0"),"")</f>
      </c>
      <c r="O490" t="s">
        <v>1454</v>
      </c>
      <c r="P490" t="s">
        <v>1452</v>
      </c>
    </row>
    <row r="491" spans="1:16" customHeight="1" ht="58">
      <c r="A491" s="16"/>
      <c r="B491" s="18" t="s">
        <v>1415</v>
      </c>
      <c r="C491" s="17" t="s">
        <v>1416</v>
      </c>
      <c r="D491" s="17" t="s">
        <v>1456</v>
      </c>
      <c r="E491" s="17" t="s">
        <v>1325</v>
      </c>
      <c r="F491" s="19"/>
      <c r="G491" s="20">
        <v>1.0</v>
      </c>
      <c r="H491" s="21">
        <v>220.0</v>
      </c>
      <c r="I491" s="21">
        <v>143.0</v>
      </c>
      <c r="J491" s="22">
        <v>1598.0</v>
      </c>
      <c r="K491" s="50"/>
      <c r="L491" s="21" t="str">
        <f>IF(K491&gt;0,K491*I491,"")</f>
      </c>
      <c r="M491" s="52"/>
      <c r="N491" t="str">
        <f>IF(K491&gt;0,COUNTIF($K$7:K491,"&gt;0"),"")</f>
      </c>
      <c r="O491" t="s">
        <v>1457</v>
      </c>
      <c r="P491" t="s">
        <v>1455</v>
      </c>
    </row>
    <row r="492" spans="1:16" customHeight="1" ht="58">
      <c r="A492" s="16"/>
      <c r="B492" s="18" t="s">
        <v>1415</v>
      </c>
      <c r="C492" s="17" t="s">
        <v>1416</v>
      </c>
      <c r="D492" s="17" t="s">
        <v>1459</v>
      </c>
      <c r="E492" s="17" t="s">
        <v>1325</v>
      </c>
      <c r="F492" s="19"/>
      <c r="G492" s="20">
        <v>1.0</v>
      </c>
      <c r="H492" s="21">
        <v>220.0</v>
      </c>
      <c r="I492" s="21">
        <v>143.0</v>
      </c>
      <c r="J492" s="22">
        <v>1522.0</v>
      </c>
      <c r="K492" s="50"/>
      <c r="L492" s="21" t="str">
        <f>IF(K492&gt;0,K492*I492,"")</f>
      </c>
      <c r="M492" s="52"/>
      <c r="N492" t="str">
        <f>IF(K492&gt;0,COUNTIF($K$7:K492,"&gt;0"),"")</f>
      </c>
      <c r="O492" t="s">
        <v>1460</v>
      </c>
      <c r="P492" t="s">
        <v>1458</v>
      </c>
    </row>
    <row r="493" spans="1:16" customHeight="1" ht="58">
      <c r="A493" s="16"/>
      <c r="B493" s="18" t="s">
        <v>1415</v>
      </c>
      <c r="C493" s="17" t="s">
        <v>1416</v>
      </c>
      <c r="D493" s="17" t="s">
        <v>1462</v>
      </c>
      <c r="E493" s="17" t="s">
        <v>1325</v>
      </c>
      <c r="F493" s="19"/>
      <c r="G493" s="20">
        <v>1.0</v>
      </c>
      <c r="H493" s="21">
        <v>220.0</v>
      </c>
      <c r="I493" s="21">
        <v>143.0</v>
      </c>
      <c r="J493" s="22">
        <v>3418.0</v>
      </c>
      <c r="K493" s="50"/>
      <c r="L493" s="21" t="str">
        <f>IF(K493&gt;0,K493*I493,"")</f>
      </c>
      <c r="M493" s="52"/>
      <c r="N493" t="str">
        <f>IF(K493&gt;0,COUNTIF($K$7:K493,"&gt;0"),"")</f>
      </c>
      <c r="O493" t="s">
        <v>1463</v>
      </c>
      <c r="P493" t="s">
        <v>1461</v>
      </c>
    </row>
    <row r="494" spans="1:16" customHeight="1" ht="58">
      <c r="A494" s="16"/>
      <c r="B494" s="18" t="s">
        <v>1415</v>
      </c>
      <c r="C494" s="17" t="s">
        <v>1416</v>
      </c>
      <c r="D494" s="17" t="s">
        <v>1465</v>
      </c>
      <c r="E494" s="17" t="s">
        <v>1325</v>
      </c>
      <c r="F494" s="19"/>
      <c r="G494" s="20">
        <v>1.0</v>
      </c>
      <c r="H494" s="21">
        <v>220.0</v>
      </c>
      <c r="I494" s="21">
        <v>143.0</v>
      </c>
      <c r="J494" s="22">
        <v>2475.0</v>
      </c>
      <c r="K494" s="50"/>
      <c r="L494" s="21" t="str">
        <f>IF(K494&gt;0,K494*I494,"")</f>
      </c>
      <c r="M494" s="52"/>
      <c r="N494" t="str">
        <f>IF(K494&gt;0,COUNTIF($K$7:K494,"&gt;0"),"")</f>
      </c>
      <c r="O494" t="s">
        <v>1466</v>
      </c>
      <c r="P494" t="s">
        <v>1464</v>
      </c>
    </row>
    <row r="495" spans="1:16" customHeight="1" ht="58">
      <c r="A495" s="16"/>
      <c r="B495" s="18" t="s">
        <v>1415</v>
      </c>
      <c r="C495" s="17" t="s">
        <v>1416</v>
      </c>
      <c r="D495" s="17" t="s">
        <v>1468</v>
      </c>
      <c r="E495" s="17" t="s">
        <v>1325</v>
      </c>
      <c r="F495" s="19"/>
      <c r="G495" s="20">
        <v>1.0</v>
      </c>
      <c r="H495" s="21">
        <v>220.0</v>
      </c>
      <c r="I495" s="21">
        <v>143.0</v>
      </c>
      <c r="J495" s="22">
        <v>1205.0</v>
      </c>
      <c r="K495" s="50"/>
      <c r="L495" s="21" t="str">
        <f>IF(K495&gt;0,K495*I495,"")</f>
      </c>
      <c r="M495" s="52"/>
      <c r="N495" t="str">
        <f>IF(K495&gt;0,COUNTIF($K$7:K495,"&gt;0"),"")</f>
      </c>
      <c r="O495" t="s">
        <v>1469</v>
      </c>
      <c r="P495" t="s">
        <v>1467</v>
      </c>
    </row>
    <row r="496" spans="1:16" customHeight="1" ht="58">
      <c r="A496" s="16"/>
      <c r="B496" s="18" t="s">
        <v>1415</v>
      </c>
      <c r="C496" s="17" t="s">
        <v>1416</v>
      </c>
      <c r="D496" s="17" t="s">
        <v>1471</v>
      </c>
      <c r="E496" s="17" t="s">
        <v>1325</v>
      </c>
      <c r="F496" s="19"/>
      <c r="G496" s="20">
        <v>1.0</v>
      </c>
      <c r="H496" s="21">
        <v>220.0</v>
      </c>
      <c r="I496" s="21">
        <v>143.0</v>
      </c>
      <c r="J496" s="22">
        <v>1027.0</v>
      </c>
      <c r="K496" s="50"/>
      <c r="L496" s="21" t="str">
        <f>IF(K496&gt;0,K496*I496,"")</f>
      </c>
      <c r="M496" s="52"/>
      <c r="N496" t="str">
        <f>IF(K496&gt;0,COUNTIF($K$7:K496,"&gt;0"),"")</f>
      </c>
      <c r="O496" t="s">
        <v>1472</v>
      </c>
      <c r="P496" t="s">
        <v>1470</v>
      </c>
    </row>
    <row r="497" spans="1:16" customHeight="1" ht="58">
      <c r="A497" s="16"/>
      <c r="B497" s="18" t="s">
        <v>1415</v>
      </c>
      <c r="C497" s="17" t="s">
        <v>1416</v>
      </c>
      <c r="D497" s="17" t="s">
        <v>1474</v>
      </c>
      <c r="E497" s="17" t="s">
        <v>1325</v>
      </c>
      <c r="F497" s="19"/>
      <c r="G497" s="20">
        <v>1.0</v>
      </c>
      <c r="H497" s="21">
        <v>220.0</v>
      </c>
      <c r="I497" s="21">
        <v>143.0</v>
      </c>
      <c r="J497" s="22">
        <v>4376.0</v>
      </c>
      <c r="K497" s="50"/>
      <c r="L497" s="21" t="str">
        <f>IF(K497&gt;0,K497*I497,"")</f>
      </c>
      <c r="M497" s="52"/>
      <c r="N497" t="str">
        <f>IF(K497&gt;0,COUNTIF($K$7:K497,"&gt;0"),"")</f>
      </c>
      <c r="O497" t="s">
        <v>1475</v>
      </c>
      <c r="P497" t="s">
        <v>1473</v>
      </c>
    </row>
    <row r="498" spans="1:16" customHeight="1" ht="58">
      <c r="A498" s="16"/>
      <c r="B498" s="18" t="s">
        <v>1477</v>
      </c>
      <c r="C498" s="17" t="s">
        <v>1478</v>
      </c>
      <c r="D498" s="17" t="s">
        <v>670</v>
      </c>
      <c r="E498" s="17" t="s">
        <v>1479</v>
      </c>
      <c r="F498" s="19"/>
      <c r="G498" s="20">
        <v>1.0</v>
      </c>
      <c r="H498" s="21">
        <v>379.5</v>
      </c>
      <c r="I498" s="21">
        <v>236.0</v>
      </c>
      <c r="J498" s="22">
        <v>253.0</v>
      </c>
      <c r="K498" s="50"/>
      <c r="L498" s="21" t="str">
        <f>IF(K498&gt;0,K498*I498,"")</f>
      </c>
      <c r="M498" s="52"/>
      <c r="N498" t="str">
        <f>IF(K498&gt;0,COUNTIF($K$7:K498,"&gt;0"),"")</f>
      </c>
      <c r="O498" t="s">
        <v>1480</v>
      </c>
      <c r="P498" t="s">
        <v>1476</v>
      </c>
    </row>
    <row r="499" spans="1:16" customHeight="1" ht="58">
      <c r="A499" s="16"/>
      <c r="B499" s="18" t="s">
        <v>1477</v>
      </c>
      <c r="C499" s="17" t="s">
        <v>1478</v>
      </c>
      <c r="D499" s="17" t="s">
        <v>1482</v>
      </c>
      <c r="E499" s="17" t="s">
        <v>1479</v>
      </c>
      <c r="F499" s="19"/>
      <c r="G499" s="20">
        <v>1.0</v>
      </c>
      <c r="H499" s="21">
        <v>379.5</v>
      </c>
      <c r="I499" s="21">
        <v>236.0</v>
      </c>
      <c r="J499" s="22">
        <v>122.0</v>
      </c>
      <c r="K499" s="50"/>
      <c r="L499" s="21" t="str">
        <f>IF(K499&gt;0,K499*I499,"")</f>
      </c>
      <c r="M499" s="52"/>
      <c r="N499" t="str">
        <f>IF(K499&gt;0,COUNTIF($K$7:K499,"&gt;0"),"")</f>
      </c>
      <c r="O499" t="s">
        <v>1483</v>
      </c>
      <c r="P499" t="s">
        <v>1481</v>
      </c>
    </row>
    <row r="500" spans="1:16" customHeight="1" ht="58">
      <c r="A500" s="16"/>
      <c r="B500" s="18" t="s">
        <v>1477</v>
      </c>
      <c r="C500" s="17" t="s">
        <v>1478</v>
      </c>
      <c r="D500" s="17" t="s">
        <v>136</v>
      </c>
      <c r="E500" s="17" t="s">
        <v>1479</v>
      </c>
      <c r="F500" s="19"/>
      <c r="G500" s="20">
        <v>1.0</v>
      </c>
      <c r="H500" s="21">
        <v>379.5</v>
      </c>
      <c r="I500" s="21">
        <v>236.0</v>
      </c>
      <c r="J500" s="22">
        <v>49.0</v>
      </c>
      <c r="K500" s="50"/>
      <c r="L500" s="21" t="str">
        <f>IF(K500&gt;0,K500*I500,"")</f>
      </c>
      <c r="M500" s="52"/>
      <c r="N500" t="str">
        <f>IF(K500&gt;0,COUNTIF($K$7:K500,"&gt;0"),"")</f>
      </c>
      <c r="O500" t="s">
        <v>1485</v>
      </c>
      <c r="P500" t="s">
        <v>1484</v>
      </c>
    </row>
    <row r="501" spans="1:16" customHeight="1" ht="58">
      <c r="A501" s="16"/>
      <c r="B501" s="18" t="s">
        <v>1477</v>
      </c>
      <c r="C501" s="17" t="s">
        <v>1478</v>
      </c>
      <c r="D501" s="17" t="s">
        <v>356</v>
      </c>
      <c r="E501" s="17" t="s">
        <v>1479</v>
      </c>
      <c r="F501" s="19"/>
      <c r="G501" s="20">
        <v>1.0</v>
      </c>
      <c r="H501" s="21">
        <v>379.5</v>
      </c>
      <c r="I501" s="21">
        <v>236.0</v>
      </c>
      <c r="J501" s="22">
        <v>52.0</v>
      </c>
      <c r="K501" s="50"/>
      <c r="L501" s="21" t="str">
        <f>IF(K501&gt;0,K501*I501,"")</f>
      </c>
      <c r="M501" s="52"/>
      <c r="N501" t="str">
        <f>IF(K501&gt;0,COUNTIF($K$7:K501,"&gt;0"),"")</f>
      </c>
      <c r="O501" t="s">
        <v>1487</v>
      </c>
      <c r="P501" t="s">
        <v>1486</v>
      </c>
    </row>
    <row r="502" spans="1:16" customHeight="1" ht="58">
      <c r="A502" s="16"/>
      <c r="B502" s="18" t="s">
        <v>1477</v>
      </c>
      <c r="C502" s="17" t="s">
        <v>1478</v>
      </c>
      <c r="D502" s="17" t="s">
        <v>761</v>
      </c>
      <c r="E502" s="17" t="s">
        <v>1479</v>
      </c>
      <c r="F502" s="19"/>
      <c r="G502" s="20">
        <v>1.0</v>
      </c>
      <c r="H502" s="21">
        <v>379.5</v>
      </c>
      <c r="I502" s="21">
        <v>236.0</v>
      </c>
      <c r="J502" s="22">
        <v>21.0</v>
      </c>
      <c r="K502" s="50"/>
      <c r="L502" s="21" t="str">
        <f>IF(K502&gt;0,K502*I502,"")</f>
      </c>
      <c r="M502" s="52"/>
      <c r="N502" t="str">
        <f>IF(K502&gt;0,COUNTIF($K$7:K502,"&gt;0"),"")</f>
      </c>
      <c r="O502" t="s">
        <v>1489</v>
      </c>
      <c r="P502" t="s">
        <v>1488</v>
      </c>
    </row>
    <row r="503" spans="1:16" customHeight="1" ht="58">
      <c r="A503" s="16"/>
      <c r="B503" s="18" t="s">
        <v>1477</v>
      </c>
      <c r="C503" s="17" t="s">
        <v>1478</v>
      </c>
      <c r="D503" s="17" t="s">
        <v>1096</v>
      </c>
      <c r="E503" s="17" t="s">
        <v>1479</v>
      </c>
      <c r="F503" s="19"/>
      <c r="G503" s="20">
        <v>1.0</v>
      </c>
      <c r="H503" s="21">
        <v>379.5</v>
      </c>
      <c r="I503" s="21">
        <v>236.0</v>
      </c>
      <c r="J503" s="22">
        <v>217.0</v>
      </c>
      <c r="K503" s="50"/>
      <c r="L503" s="21" t="str">
        <f>IF(K503&gt;0,K503*I503,"")</f>
      </c>
      <c r="M503" s="52"/>
      <c r="N503" t="str">
        <f>IF(K503&gt;0,COUNTIF($K$7:K503,"&gt;0"),"")</f>
      </c>
      <c r="O503" t="s">
        <v>1491</v>
      </c>
      <c r="P503" t="s">
        <v>1490</v>
      </c>
    </row>
    <row r="504" spans="1:16" customHeight="1" ht="58">
      <c r="A504" s="16"/>
      <c r="B504" s="18" t="s">
        <v>1477</v>
      </c>
      <c r="C504" s="17" t="s">
        <v>1478</v>
      </c>
      <c r="D504" s="17" t="s">
        <v>1493</v>
      </c>
      <c r="E504" s="17" t="s">
        <v>1479</v>
      </c>
      <c r="F504" s="19"/>
      <c r="G504" s="20">
        <v>1.0</v>
      </c>
      <c r="H504" s="21">
        <v>379.5</v>
      </c>
      <c r="I504" s="21">
        <v>236.0</v>
      </c>
      <c r="J504" s="22">
        <v>194.0</v>
      </c>
      <c r="K504" s="50"/>
      <c r="L504" s="21" t="str">
        <f>IF(K504&gt;0,K504*I504,"")</f>
      </c>
      <c r="M504" s="52"/>
      <c r="N504" t="str">
        <f>IF(K504&gt;0,COUNTIF($K$7:K504,"&gt;0"),"")</f>
      </c>
      <c r="O504" t="s">
        <v>1494</v>
      </c>
      <c r="P504" t="s">
        <v>1492</v>
      </c>
    </row>
    <row r="505" spans="1:16" customHeight="1" ht="58">
      <c r="A505" s="16"/>
      <c r="B505" s="18" t="s">
        <v>1477</v>
      </c>
      <c r="C505" s="17" t="s">
        <v>1478</v>
      </c>
      <c r="D505" s="17" t="s">
        <v>858</v>
      </c>
      <c r="E505" s="17" t="s">
        <v>1479</v>
      </c>
      <c r="F505" s="19"/>
      <c r="G505" s="20">
        <v>1.0</v>
      </c>
      <c r="H505" s="21">
        <v>379.5</v>
      </c>
      <c r="I505" s="21">
        <v>236.0</v>
      </c>
      <c r="J505" s="22">
        <v>399.0</v>
      </c>
      <c r="K505" s="50"/>
      <c r="L505" s="21" t="str">
        <f>IF(K505&gt;0,K505*I505,"")</f>
      </c>
      <c r="M505" s="52"/>
      <c r="N505" t="str">
        <f>IF(K505&gt;0,COUNTIF($K$7:K505,"&gt;0"),"")</f>
      </c>
      <c r="O505" t="s">
        <v>1496</v>
      </c>
      <c r="P505" t="s">
        <v>1495</v>
      </c>
    </row>
    <row r="506" spans="1:16" customHeight="1" ht="58">
      <c r="A506" s="16"/>
      <c r="B506" s="18" t="s">
        <v>1477</v>
      </c>
      <c r="C506" s="17" t="s">
        <v>1478</v>
      </c>
      <c r="D506" s="17" t="s">
        <v>1047</v>
      </c>
      <c r="E506" s="17" t="s">
        <v>1479</v>
      </c>
      <c r="F506" s="19"/>
      <c r="G506" s="20">
        <v>1.0</v>
      </c>
      <c r="H506" s="21">
        <v>379.5</v>
      </c>
      <c r="I506" s="21">
        <v>236.0</v>
      </c>
      <c r="J506" s="22">
        <v>115.0</v>
      </c>
      <c r="K506" s="50"/>
      <c r="L506" s="21" t="str">
        <f>IF(K506&gt;0,K506*I506,"")</f>
      </c>
      <c r="M506" s="52"/>
      <c r="N506" t="str">
        <f>IF(K506&gt;0,COUNTIF($K$7:K506,"&gt;0"),"")</f>
      </c>
      <c r="O506" t="s">
        <v>1498</v>
      </c>
      <c r="P506" t="s">
        <v>1497</v>
      </c>
    </row>
    <row r="507" spans="1:16" customHeight="1" ht="58">
      <c r="A507" s="16"/>
      <c r="B507" s="18" t="s">
        <v>1477</v>
      </c>
      <c r="C507" s="17" t="s">
        <v>1478</v>
      </c>
      <c r="D507" s="17" t="s">
        <v>1167</v>
      </c>
      <c r="E507" s="17" t="s">
        <v>1479</v>
      </c>
      <c r="F507" s="19"/>
      <c r="G507" s="20">
        <v>1.0</v>
      </c>
      <c r="H507" s="21">
        <v>379.5</v>
      </c>
      <c r="I507" s="21">
        <v>236.0</v>
      </c>
      <c r="J507" s="22">
        <v>126.0</v>
      </c>
      <c r="K507" s="50"/>
      <c r="L507" s="21" t="str">
        <f>IF(K507&gt;0,K507*I507,"")</f>
      </c>
      <c r="M507" s="52"/>
      <c r="N507" t="str">
        <f>IF(K507&gt;0,COUNTIF($K$7:K507,"&gt;0"),"")</f>
      </c>
      <c r="O507" t="s">
        <v>1500</v>
      </c>
      <c r="P507" t="s">
        <v>1499</v>
      </c>
    </row>
    <row r="508" spans="1:16" customHeight="1" ht="24">
      <c r="A508" s="23" t="s">
        <v>1501</v>
      </c>
      <c r="B508" s="24"/>
      <c r="C508" s="25"/>
      <c r="D508" s="25"/>
      <c r="E508" s="25"/>
      <c r="F508" s="26"/>
      <c r="G508" s="27"/>
      <c r="H508" s="28"/>
      <c r="I508" s="28"/>
      <c r="J508" s="29"/>
      <c r="K508" s="49"/>
      <c r="L508" s="28"/>
      <c r="M508" s="51"/>
      <c r="N508" t="str">
        <f>IF(K508&gt;0,COUNTIF($K$7:K508,"&gt;0"),"")</f>
      </c>
    </row>
    <row r="509" spans="1:16" customHeight="1" ht="58">
      <c r="A509" s="16"/>
      <c r="B509" s="18" t="s">
        <v>1503</v>
      </c>
      <c r="C509" s="17" t="s">
        <v>1504</v>
      </c>
      <c r="D509" s="17" t="s">
        <v>1505</v>
      </c>
      <c r="E509" s="17" t="s">
        <v>31</v>
      </c>
      <c r="F509" s="19"/>
      <c r="G509" s="20">
        <v>1.0</v>
      </c>
      <c r="H509" s="21">
        <v>154.0</v>
      </c>
      <c r="I509" s="21">
        <v>151.0</v>
      </c>
      <c r="J509" s="22">
        <v>11.0</v>
      </c>
      <c r="K509" s="50"/>
      <c r="L509" s="21" t="str">
        <f>IF(K509&gt;0,K509*I509,"")</f>
      </c>
      <c r="M509" s="52"/>
      <c r="N509" t="str">
        <f>IF(K509&gt;0,COUNTIF($K$7:K509,"&gt;0"),"")</f>
      </c>
      <c r="O509" t="s">
        <v>1506</v>
      </c>
      <c r="P509" t="s">
        <v>1502</v>
      </c>
    </row>
    <row r="510" spans="1:16" customHeight="1" ht="58">
      <c r="A510" s="16"/>
      <c r="B510" s="18" t="s">
        <v>1503</v>
      </c>
      <c r="C510" s="17" t="s">
        <v>1504</v>
      </c>
      <c r="D510" s="17" t="s">
        <v>1508</v>
      </c>
      <c r="E510" s="17" t="s">
        <v>31</v>
      </c>
      <c r="F510" s="19"/>
      <c r="G510" s="20">
        <v>1.0</v>
      </c>
      <c r="H510" s="21">
        <v>154.0</v>
      </c>
      <c r="I510" s="21">
        <v>151.0</v>
      </c>
      <c r="J510" s="22">
        <v>13.0</v>
      </c>
      <c r="K510" s="50"/>
      <c r="L510" s="21" t="str">
        <f>IF(K510&gt;0,K510*I510,"")</f>
      </c>
      <c r="M510" s="52"/>
      <c r="N510" t="str">
        <f>IF(K510&gt;0,COUNTIF($K$7:K510,"&gt;0"),"")</f>
      </c>
      <c r="O510" t="s">
        <v>1509</v>
      </c>
      <c r="P510" t="s">
        <v>1507</v>
      </c>
    </row>
    <row r="511" spans="1:16" customHeight="1" ht="58">
      <c r="A511" s="16"/>
      <c r="B511" s="18" t="s">
        <v>1503</v>
      </c>
      <c r="C511" s="17" t="s">
        <v>1504</v>
      </c>
      <c r="D511" s="17" t="s">
        <v>1511</v>
      </c>
      <c r="E511" s="17" t="s">
        <v>31</v>
      </c>
      <c r="F511" s="19"/>
      <c r="G511" s="20">
        <v>1.0</v>
      </c>
      <c r="H511" s="21">
        <v>154.0</v>
      </c>
      <c r="I511" s="21">
        <v>151.0</v>
      </c>
      <c r="J511" s="22">
        <v>250.0</v>
      </c>
      <c r="K511" s="50"/>
      <c r="L511" s="21" t="str">
        <f>IF(K511&gt;0,K511*I511,"")</f>
      </c>
      <c r="M511" s="52"/>
      <c r="N511" t="str">
        <f>IF(K511&gt;0,COUNTIF($K$7:K511,"&gt;0"),"")</f>
      </c>
      <c r="O511" t="s">
        <v>1512</v>
      </c>
      <c r="P511" t="s">
        <v>1510</v>
      </c>
    </row>
    <row r="512" spans="1:16" customHeight="1" ht="58">
      <c r="A512" s="16"/>
      <c r="B512" s="18" t="s">
        <v>1514</v>
      </c>
      <c r="C512" s="17" t="s">
        <v>9</v>
      </c>
      <c r="D512" s="17" t="s">
        <v>583</v>
      </c>
      <c r="E512" s="17" t="s">
        <v>1515</v>
      </c>
      <c r="F512" s="19"/>
      <c r="G512" s="20">
        <v>1.0</v>
      </c>
      <c r="H512" s="21">
        <v>275.0</v>
      </c>
      <c r="I512" s="21">
        <v>176.0</v>
      </c>
      <c r="J512" s="22">
        <v>54.0</v>
      </c>
      <c r="K512" s="50"/>
      <c r="L512" s="21" t="str">
        <f>IF(K512&gt;0,K512*I512,"")</f>
      </c>
      <c r="M512" s="52"/>
      <c r="N512" t="str">
        <f>IF(K512&gt;0,COUNTIF($K$7:K512,"&gt;0"),"")</f>
      </c>
      <c r="O512" t="s">
        <v>1516</v>
      </c>
      <c r="P512" t="s">
        <v>1513</v>
      </c>
    </row>
    <row r="513" spans="1:16" customHeight="1" ht="58">
      <c r="A513" s="16"/>
      <c r="B513" s="18" t="s">
        <v>1514</v>
      </c>
      <c r="C513" s="17" t="s">
        <v>9</v>
      </c>
      <c r="D513" s="17" t="s">
        <v>294</v>
      </c>
      <c r="E513" s="17" t="s">
        <v>1515</v>
      </c>
      <c r="F513" s="19"/>
      <c r="G513" s="20">
        <v>1.0</v>
      </c>
      <c r="H513" s="21">
        <v>275.0</v>
      </c>
      <c r="I513" s="21">
        <v>176.0</v>
      </c>
      <c r="J513" s="22">
        <v>10.0</v>
      </c>
      <c r="K513" s="50"/>
      <c r="L513" s="21" t="str">
        <f>IF(K513&gt;0,K513*I513,"")</f>
      </c>
      <c r="M513" s="52"/>
      <c r="N513" t="str">
        <f>IF(K513&gt;0,COUNTIF($K$7:K513,"&gt;0"),"")</f>
      </c>
      <c r="O513" t="s">
        <v>1518</v>
      </c>
      <c r="P513" t="s">
        <v>1517</v>
      </c>
    </row>
    <row r="514" spans="1:16" customHeight="1" ht="58">
      <c r="A514" s="16"/>
      <c r="B514" s="18" t="s">
        <v>1520</v>
      </c>
      <c r="C514" s="17" t="s">
        <v>9</v>
      </c>
      <c r="D514" s="17" t="s">
        <v>1521</v>
      </c>
      <c r="E514" s="17" t="s">
        <v>1522</v>
      </c>
      <c r="F514" s="19"/>
      <c r="G514" s="20">
        <v>1.0</v>
      </c>
      <c r="H514" s="21">
        <v>176.0</v>
      </c>
      <c r="I514" s="21">
        <v>108.0</v>
      </c>
      <c r="J514" s="22">
        <v>1.0</v>
      </c>
      <c r="K514" s="50"/>
      <c r="L514" s="21" t="str">
        <f>IF(K514&gt;0,K514*I514,"")</f>
      </c>
      <c r="M514" s="52"/>
      <c r="N514" t="str">
        <f>IF(K514&gt;0,COUNTIF($K$7:K514,"&gt;0"),"")</f>
      </c>
      <c r="O514" t="s">
        <v>1523</v>
      </c>
      <c r="P514" t="s">
        <v>1519</v>
      </c>
    </row>
    <row r="515" spans="1:16" customHeight="1" ht="58">
      <c r="A515" s="16"/>
      <c r="B515" s="18" t="s">
        <v>1520</v>
      </c>
      <c r="C515" s="17" t="s">
        <v>9</v>
      </c>
      <c r="D515" s="17" t="s">
        <v>1525</v>
      </c>
      <c r="E515" s="17" t="s">
        <v>1522</v>
      </c>
      <c r="F515" s="19"/>
      <c r="G515" s="20">
        <v>1.0</v>
      </c>
      <c r="H515" s="21">
        <v>176.0</v>
      </c>
      <c r="I515" s="21">
        <v>108.0</v>
      </c>
      <c r="J515" s="22">
        <v>59.0</v>
      </c>
      <c r="K515" s="50"/>
      <c r="L515" s="21" t="str">
        <f>IF(K515&gt;0,K515*I515,"")</f>
      </c>
      <c r="M515" s="52"/>
      <c r="N515" t="str">
        <f>IF(K515&gt;0,COUNTIF($K$7:K515,"&gt;0"),"")</f>
      </c>
      <c r="O515" t="s">
        <v>1526</v>
      </c>
      <c r="P515" t="s">
        <v>1524</v>
      </c>
    </row>
    <row r="516" spans="1:16" customHeight="1" ht="58">
      <c r="A516" s="16"/>
      <c r="B516" s="18" t="s">
        <v>1520</v>
      </c>
      <c r="C516" s="17" t="s">
        <v>9</v>
      </c>
      <c r="D516" s="17" t="s">
        <v>1528</v>
      </c>
      <c r="E516" s="17" t="s">
        <v>1522</v>
      </c>
      <c r="F516" s="19"/>
      <c r="G516" s="20">
        <v>1.0</v>
      </c>
      <c r="H516" s="21">
        <v>176.0</v>
      </c>
      <c r="I516" s="21">
        <v>108.0</v>
      </c>
      <c r="J516" s="22">
        <v>3.0</v>
      </c>
      <c r="K516" s="50"/>
      <c r="L516" s="21" t="str">
        <f>IF(K516&gt;0,K516*I516,"")</f>
      </c>
      <c r="M516" s="52"/>
      <c r="N516" t="str">
        <f>IF(K516&gt;0,COUNTIF($K$7:K516,"&gt;0"),"")</f>
      </c>
      <c r="O516" t="s">
        <v>1529</v>
      </c>
      <c r="P516" t="s">
        <v>1527</v>
      </c>
    </row>
    <row r="517" spans="1:16" customHeight="1" ht="58">
      <c r="A517" s="16"/>
      <c r="B517" s="18" t="s">
        <v>1520</v>
      </c>
      <c r="C517" s="17" t="s">
        <v>9</v>
      </c>
      <c r="D517" s="17" t="s">
        <v>1531</v>
      </c>
      <c r="E517" s="17" t="s">
        <v>1522</v>
      </c>
      <c r="F517" s="19"/>
      <c r="G517" s="20">
        <v>1.0</v>
      </c>
      <c r="H517" s="21">
        <v>176.0</v>
      </c>
      <c r="I517" s="21">
        <v>108.0</v>
      </c>
      <c r="J517" s="22">
        <v>22.0</v>
      </c>
      <c r="K517" s="50"/>
      <c r="L517" s="21" t="str">
        <f>IF(K517&gt;0,K517*I517,"")</f>
      </c>
      <c r="M517" s="52"/>
      <c r="N517" t="str">
        <f>IF(K517&gt;0,COUNTIF($K$7:K517,"&gt;0"),"")</f>
      </c>
      <c r="O517" t="s">
        <v>1532</v>
      </c>
      <c r="P517" t="s">
        <v>1530</v>
      </c>
    </row>
    <row r="518" spans="1:16" customHeight="1" ht="58">
      <c r="A518" s="16"/>
      <c r="B518" s="18" t="s">
        <v>1520</v>
      </c>
      <c r="C518" s="17" t="s">
        <v>9</v>
      </c>
      <c r="D518" s="17" t="s">
        <v>1534</v>
      </c>
      <c r="E518" s="17" t="s">
        <v>1522</v>
      </c>
      <c r="F518" s="19"/>
      <c r="G518" s="20">
        <v>1.0</v>
      </c>
      <c r="H518" s="21">
        <v>176.0</v>
      </c>
      <c r="I518" s="21">
        <v>108.0</v>
      </c>
      <c r="J518" s="22">
        <v>3.0</v>
      </c>
      <c r="K518" s="50"/>
      <c r="L518" s="21" t="str">
        <f>IF(K518&gt;0,K518*I518,"")</f>
      </c>
      <c r="M518" s="52"/>
      <c r="N518" t="str">
        <f>IF(K518&gt;0,COUNTIF($K$7:K518,"&gt;0"),"")</f>
      </c>
      <c r="O518" t="s">
        <v>1535</v>
      </c>
      <c r="P518" t="s">
        <v>1533</v>
      </c>
    </row>
    <row r="519" spans="1:16" customHeight="1" ht="58">
      <c r="A519" s="16"/>
      <c r="B519" s="18" t="s">
        <v>1537</v>
      </c>
      <c r="C519" s="17" t="s">
        <v>9</v>
      </c>
      <c r="D519" s="17" t="s">
        <v>270</v>
      </c>
      <c r="E519" s="17" t="s">
        <v>1538</v>
      </c>
      <c r="F519" s="19"/>
      <c r="G519" s="20">
        <v>1.0</v>
      </c>
      <c r="H519" s="21">
        <v>341.0</v>
      </c>
      <c r="I519" s="21">
        <v>216.0</v>
      </c>
      <c r="J519" s="22">
        <v>18.0</v>
      </c>
      <c r="K519" s="50"/>
      <c r="L519" s="21" t="str">
        <f>IF(K519&gt;0,K519*I519,"")</f>
      </c>
      <c r="M519" s="52"/>
      <c r="N519" t="str">
        <f>IF(K519&gt;0,COUNTIF($K$7:K519,"&gt;0"),"")</f>
      </c>
      <c r="O519" t="s">
        <v>1539</v>
      </c>
      <c r="P519" t="s">
        <v>1536</v>
      </c>
    </row>
    <row r="520" spans="1:16" customHeight="1" ht="58">
      <c r="A520" s="16"/>
      <c r="B520" s="18" t="s">
        <v>1537</v>
      </c>
      <c r="C520" s="17" t="s">
        <v>9</v>
      </c>
      <c r="D520" s="17" t="s">
        <v>687</v>
      </c>
      <c r="E520" s="17" t="s">
        <v>1538</v>
      </c>
      <c r="F520" s="19"/>
      <c r="G520" s="20">
        <v>1.0</v>
      </c>
      <c r="H520" s="21">
        <v>341.0</v>
      </c>
      <c r="I520" s="21">
        <v>216.0</v>
      </c>
      <c r="J520" s="22">
        <v>44.0</v>
      </c>
      <c r="K520" s="50"/>
      <c r="L520" s="21" t="str">
        <f>IF(K520&gt;0,K520*I520,"")</f>
      </c>
      <c r="M520" s="52"/>
      <c r="N520" t="str">
        <f>IF(K520&gt;0,COUNTIF($K$7:K520,"&gt;0"),"")</f>
      </c>
      <c r="O520" t="s">
        <v>1541</v>
      </c>
      <c r="P520" t="s">
        <v>1540</v>
      </c>
    </row>
    <row r="521" spans="1:16" customHeight="1" ht="58">
      <c r="A521" s="16"/>
      <c r="B521" s="18" t="s">
        <v>1543</v>
      </c>
      <c r="C521" s="17" t="s">
        <v>9</v>
      </c>
      <c r="D521" s="17" t="s">
        <v>258</v>
      </c>
      <c r="E521" s="17" t="s">
        <v>1544</v>
      </c>
      <c r="F521" s="19"/>
      <c r="G521" s="20">
        <v>1.0</v>
      </c>
      <c r="H521" s="21">
        <v>143.0</v>
      </c>
      <c r="I521" s="21">
        <v>88.0</v>
      </c>
      <c r="J521" s="22">
        <v>7.0</v>
      </c>
      <c r="K521" s="50"/>
      <c r="L521" s="21" t="str">
        <f>IF(K521&gt;0,K521*I521,"")</f>
      </c>
      <c r="M521" s="52"/>
      <c r="N521" t="str">
        <f>IF(K521&gt;0,COUNTIF($K$7:K521,"&gt;0"),"")</f>
      </c>
      <c r="O521" t="s">
        <v>1545</v>
      </c>
      <c r="P521" t="s">
        <v>1542</v>
      </c>
    </row>
    <row r="522" spans="1:16" customHeight="1" ht="58">
      <c r="A522" s="16"/>
      <c r="B522" s="18" t="s">
        <v>1543</v>
      </c>
      <c r="C522" s="17" t="s">
        <v>9</v>
      </c>
      <c r="D522" s="17" t="s">
        <v>261</v>
      </c>
      <c r="E522" s="17" t="s">
        <v>1544</v>
      </c>
      <c r="F522" s="19"/>
      <c r="G522" s="20">
        <v>1.0</v>
      </c>
      <c r="H522" s="21">
        <v>143.0</v>
      </c>
      <c r="I522" s="21">
        <v>88.0</v>
      </c>
      <c r="J522" s="22">
        <v>2.0</v>
      </c>
      <c r="K522" s="50"/>
      <c r="L522" s="21" t="str">
        <f>IF(K522&gt;0,K522*I522,"")</f>
      </c>
      <c r="M522" s="52"/>
      <c r="N522" t="str">
        <f>IF(K522&gt;0,COUNTIF($K$7:K522,"&gt;0"),"")</f>
      </c>
      <c r="O522" t="s">
        <v>1547</v>
      </c>
      <c r="P522" t="s">
        <v>1546</v>
      </c>
    </row>
    <row r="523" spans="1:16" customHeight="1" ht="58">
      <c r="A523" s="16"/>
      <c r="B523" s="18" t="s">
        <v>1543</v>
      </c>
      <c r="C523" s="17" t="s">
        <v>9</v>
      </c>
      <c r="D523" s="17" t="s">
        <v>267</v>
      </c>
      <c r="E523" s="17" t="s">
        <v>1544</v>
      </c>
      <c r="F523" s="19"/>
      <c r="G523" s="20">
        <v>1.0</v>
      </c>
      <c r="H523" s="21">
        <v>143.0</v>
      </c>
      <c r="I523" s="21">
        <v>88.0</v>
      </c>
      <c r="J523" s="22">
        <v>1.0</v>
      </c>
      <c r="K523" s="50"/>
      <c r="L523" s="21" t="str">
        <f>IF(K523&gt;0,K523*I523,"")</f>
      </c>
      <c r="M523" s="52"/>
      <c r="N523" t="str">
        <f>IF(K523&gt;0,COUNTIF($K$7:K523,"&gt;0"),"")</f>
      </c>
      <c r="O523" t="s">
        <v>1549</v>
      </c>
      <c r="P523" t="s">
        <v>1548</v>
      </c>
    </row>
    <row r="524" spans="1:16" customHeight="1" ht="58">
      <c r="A524" s="16"/>
      <c r="B524" s="18" t="s">
        <v>1543</v>
      </c>
      <c r="C524" s="17" t="s">
        <v>9</v>
      </c>
      <c r="D524" s="17" t="s">
        <v>270</v>
      </c>
      <c r="E524" s="17" t="s">
        <v>1544</v>
      </c>
      <c r="F524" s="19"/>
      <c r="G524" s="20">
        <v>1.0</v>
      </c>
      <c r="H524" s="21">
        <v>143.0</v>
      </c>
      <c r="I524" s="21">
        <v>88.0</v>
      </c>
      <c r="J524" s="22">
        <v>5.0</v>
      </c>
      <c r="K524" s="50"/>
      <c r="L524" s="21" t="str">
        <f>IF(K524&gt;0,K524*I524,"")</f>
      </c>
      <c r="M524" s="52"/>
      <c r="N524" t="str">
        <f>IF(K524&gt;0,COUNTIF($K$7:K524,"&gt;0"),"")</f>
      </c>
      <c r="O524" t="s">
        <v>1551</v>
      </c>
      <c r="P524" t="s">
        <v>1550</v>
      </c>
    </row>
    <row r="525" spans="1:16" customHeight="1" ht="58">
      <c r="A525" s="16"/>
      <c r="B525" s="18" t="s">
        <v>1553</v>
      </c>
      <c r="C525" s="17" t="s">
        <v>9</v>
      </c>
      <c r="D525" s="17" t="s">
        <v>261</v>
      </c>
      <c r="E525" s="17" t="s">
        <v>1554</v>
      </c>
      <c r="F525" s="19"/>
      <c r="G525" s="20">
        <v>1.0</v>
      </c>
      <c r="H525" s="21">
        <v>143.0</v>
      </c>
      <c r="I525" s="21">
        <v>88.0</v>
      </c>
      <c r="J525" s="22">
        <v>51.0</v>
      </c>
      <c r="K525" s="50"/>
      <c r="L525" s="21" t="str">
        <f>IF(K525&gt;0,K525*I525,"")</f>
      </c>
      <c r="M525" s="52"/>
      <c r="N525" t="str">
        <f>IF(K525&gt;0,COUNTIF($K$7:K525,"&gt;0"),"")</f>
      </c>
      <c r="O525" t="s">
        <v>1555</v>
      </c>
      <c r="P525" t="s">
        <v>1552</v>
      </c>
    </row>
    <row r="526" spans="1:16" customHeight="1" ht="58">
      <c r="A526" s="16"/>
      <c r="B526" s="18" t="s">
        <v>1553</v>
      </c>
      <c r="C526" s="17" t="s">
        <v>9</v>
      </c>
      <c r="D526" s="17" t="s">
        <v>270</v>
      </c>
      <c r="E526" s="17" t="s">
        <v>1554</v>
      </c>
      <c r="F526" s="19"/>
      <c r="G526" s="20">
        <v>1.0</v>
      </c>
      <c r="H526" s="21">
        <v>143.0</v>
      </c>
      <c r="I526" s="21">
        <v>88.0</v>
      </c>
      <c r="J526" s="22">
        <v>41.0</v>
      </c>
      <c r="K526" s="50"/>
      <c r="L526" s="21" t="str">
        <f>IF(K526&gt;0,K526*I526,"")</f>
      </c>
      <c r="M526" s="52"/>
      <c r="N526" t="str">
        <f>IF(K526&gt;0,COUNTIF($K$7:K526,"&gt;0"),"")</f>
      </c>
      <c r="O526" t="s">
        <v>1557</v>
      </c>
      <c r="P526" t="s">
        <v>1556</v>
      </c>
    </row>
    <row r="527" spans="1:16" customHeight="1" ht="58">
      <c r="A527" s="16"/>
      <c r="B527" s="18" t="s">
        <v>1553</v>
      </c>
      <c r="C527" s="17" t="s">
        <v>9</v>
      </c>
      <c r="D527" s="17" t="s">
        <v>258</v>
      </c>
      <c r="E527" s="17" t="s">
        <v>1554</v>
      </c>
      <c r="F527" s="19"/>
      <c r="G527" s="20">
        <v>1.0</v>
      </c>
      <c r="H527" s="21">
        <v>143.0</v>
      </c>
      <c r="I527" s="21">
        <v>88.0</v>
      </c>
      <c r="J527" s="22">
        <v>48.0</v>
      </c>
      <c r="K527" s="50"/>
      <c r="L527" s="21" t="str">
        <f>IF(K527&gt;0,K527*I527,"")</f>
      </c>
      <c r="M527" s="52"/>
      <c r="N527" t="str">
        <f>IF(K527&gt;0,COUNTIF($K$7:K527,"&gt;0"),"")</f>
      </c>
      <c r="O527" t="s">
        <v>1559</v>
      </c>
      <c r="P527" t="s">
        <v>1558</v>
      </c>
    </row>
    <row r="528" spans="1:16" customHeight="1" ht="58">
      <c r="A528" s="16"/>
      <c r="B528" s="18" t="s">
        <v>1553</v>
      </c>
      <c r="C528" s="17" t="s">
        <v>9</v>
      </c>
      <c r="D528" s="17" t="s">
        <v>331</v>
      </c>
      <c r="E528" s="17" t="s">
        <v>1554</v>
      </c>
      <c r="F528" s="19"/>
      <c r="G528" s="20">
        <v>1.0</v>
      </c>
      <c r="H528" s="21">
        <v>143.0</v>
      </c>
      <c r="I528" s="21">
        <v>88.0</v>
      </c>
      <c r="J528" s="22">
        <v>45.0</v>
      </c>
      <c r="K528" s="50"/>
      <c r="L528" s="21" t="str">
        <f>IF(K528&gt;0,K528*I528,"")</f>
      </c>
      <c r="M528" s="52"/>
      <c r="N528" t="str">
        <f>IF(K528&gt;0,COUNTIF($K$7:K528,"&gt;0"),"")</f>
      </c>
      <c r="O528" t="s">
        <v>1561</v>
      </c>
      <c r="P528" t="s">
        <v>1560</v>
      </c>
    </row>
    <row r="529" spans="1:16" customHeight="1" ht="58">
      <c r="A529" s="16"/>
      <c r="B529" s="18" t="s">
        <v>1563</v>
      </c>
      <c r="C529" s="17" t="s">
        <v>9</v>
      </c>
      <c r="D529" s="17" t="s">
        <v>1531</v>
      </c>
      <c r="E529" s="17" t="s">
        <v>1564</v>
      </c>
      <c r="F529" s="19"/>
      <c r="G529" s="20">
        <v>1.0</v>
      </c>
      <c r="H529" s="21">
        <v>143.0</v>
      </c>
      <c r="I529" s="21">
        <v>88.0</v>
      </c>
      <c r="J529" s="22">
        <v>31.0</v>
      </c>
      <c r="K529" s="50"/>
      <c r="L529" s="21" t="str">
        <f>IF(K529&gt;0,K529*I529,"")</f>
      </c>
      <c r="M529" s="52"/>
      <c r="N529" t="str">
        <f>IF(K529&gt;0,COUNTIF($K$7:K529,"&gt;0"),"")</f>
      </c>
      <c r="O529" t="s">
        <v>1565</v>
      </c>
      <c r="P529" t="s">
        <v>1562</v>
      </c>
    </row>
    <row r="530" spans="1:16" customHeight="1" ht="58">
      <c r="A530" s="16"/>
      <c r="B530" s="18" t="s">
        <v>1563</v>
      </c>
      <c r="C530" s="17" t="s">
        <v>9</v>
      </c>
      <c r="D530" s="17" t="s">
        <v>1567</v>
      </c>
      <c r="E530" s="17" t="s">
        <v>1564</v>
      </c>
      <c r="F530" s="19"/>
      <c r="G530" s="20">
        <v>1.0</v>
      </c>
      <c r="H530" s="21">
        <v>143.0</v>
      </c>
      <c r="I530" s="21">
        <v>88.0</v>
      </c>
      <c r="J530" s="22">
        <v>17.0</v>
      </c>
      <c r="K530" s="50"/>
      <c r="L530" s="21" t="str">
        <f>IF(K530&gt;0,K530*I530,"")</f>
      </c>
      <c r="M530" s="52"/>
      <c r="N530" t="str">
        <f>IF(K530&gt;0,COUNTIF($K$7:K530,"&gt;0"),"")</f>
      </c>
      <c r="O530" t="s">
        <v>1568</v>
      </c>
      <c r="P530" t="s">
        <v>1566</v>
      </c>
    </row>
    <row r="531" spans="1:16" customHeight="1" ht="58">
      <c r="A531" s="16"/>
      <c r="B531" s="18" t="s">
        <v>1563</v>
      </c>
      <c r="C531" s="17" t="s">
        <v>9</v>
      </c>
      <c r="D531" s="17" t="s">
        <v>1570</v>
      </c>
      <c r="E531" s="17" t="s">
        <v>1564</v>
      </c>
      <c r="F531" s="19"/>
      <c r="G531" s="20">
        <v>1.0</v>
      </c>
      <c r="H531" s="21">
        <v>143.0</v>
      </c>
      <c r="I531" s="21">
        <v>88.0</v>
      </c>
      <c r="J531" s="22">
        <v>28.0</v>
      </c>
      <c r="K531" s="50"/>
      <c r="L531" s="21" t="str">
        <f>IF(K531&gt;0,K531*I531,"")</f>
      </c>
      <c r="M531" s="52"/>
      <c r="N531" t="str">
        <f>IF(K531&gt;0,COUNTIF($K$7:K531,"&gt;0"),"")</f>
      </c>
      <c r="O531" t="s">
        <v>1571</v>
      </c>
      <c r="P531" t="s">
        <v>1569</v>
      </c>
    </row>
    <row r="532" spans="1:16" customHeight="1" ht="58">
      <c r="A532" s="16"/>
      <c r="B532" s="18" t="s">
        <v>1563</v>
      </c>
      <c r="C532" s="17" t="s">
        <v>9</v>
      </c>
      <c r="D532" s="17" t="s">
        <v>1528</v>
      </c>
      <c r="E532" s="17" t="s">
        <v>1564</v>
      </c>
      <c r="F532" s="19"/>
      <c r="G532" s="20">
        <v>1.0</v>
      </c>
      <c r="H532" s="21">
        <v>143.0</v>
      </c>
      <c r="I532" s="21">
        <v>88.0</v>
      </c>
      <c r="J532" s="22">
        <v>45.0</v>
      </c>
      <c r="K532" s="50"/>
      <c r="L532" s="21" t="str">
        <f>IF(K532&gt;0,K532*I532,"")</f>
      </c>
      <c r="M532" s="52"/>
      <c r="N532" t="str">
        <f>IF(K532&gt;0,COUNTIF($K$7:K532,"&gt;0"),"")</f>
      </c>
      <c r="O532" t="s">
        <v>1573</v>
      </c>
      <c r="P532" t="s">
        <v>1572</v>
      </c>
    </row>
    <row r="533" spans="1:16" customHeight="1" ht="58">
      <c r="A533" s="16"/>
      <c r="B533" s="18" t="s">
        <v>1563</v>
      </c>
      <c r="C533" s="17" t="s">
        <v>9</v>
      </c>
      <c r="D533" s="17" t="s">
        <v>1521</v>
      </c>
      <c r="E533" s="17" t="s">
        <v>1564</v>
      </c>
      <c r="F533" s="19"/>
      <c r="G533" s="20">
        <v>1.0</v>
      </c>
      <c r="H533" s="21">
        <v>143.0</v>
      </c>
      <c r="I533" s="21">
        <v>88.0</v>
      </c>
      <c r="J533" s="22">
        <v>5.0</v>
      </c>
      <c r="K533" s="50"/>
      <c r="L533" s="21" t="str">
        <f>IF(K533&gt;0,K533*I533,"")</f>
      </c>
      <c r="M533" s="52"/>
      <c r="N533" t="str">
        <f>IF(K533&gt;0,COUNTIF($K$7:K533,"&gt;0"),"")</f>
      </c>
      <c r="O533" t="s">
        <v>1575</v>
      </c>
      <c r="P533" t="s">
        <v>1574</v>
      </c>
    </row>
    <row r="534" spans="1:16" customHeight="1" ht="58">
      <c r="A534" s="16"/>
      <c r="B534" s="18" t="s">
        <v>1563</v>
      </c>
      <c r="C534" s="17" t="s">
        <v>9</v>
      </c>
      <c r="D534" s="17" t="s">
        <v>1577</v>
      </c>
      <c r="E534" s="17" t="s">
        <v>1564</v>
      </c>
      <c r="F534" s="19"/>
      <c r="G534" s="20">
        <v>1.0</v>
      </c>
      <c r="H534" s="21">
        <v>143.0</v>
      </c>
      <c r="I534" s="21">
        <v>88.0</v>
      </c>
      <c r="J534" s="22">
        <v>58.0</v>
      </c>
      <c r="K534" s="50"/>
      <c r="L534" s="21" t="str">
        <f>IF(K534&gt;0,K534*I534,"")</f>
      </c>
      <c r="M534" s="52"/>
      <c r="N534" t="str">
        <f>IF(K534&gt;0,COUNTIF($K$7:K534,"&gt;0"),"")</f>
      </c>
      <c r="O534" t="s">
        <v>1578</v>
      </c>
      <c r="P534" t="s">
        <v>1576</v>
      </c>
    </row>
    <row r="535" spans="1:16" customHeight="1" ht="58">
      <c r="A535" s="16"/>
      <c r="B535" s="18" t="s">
        <v>1580</v>
      </c>
      <c r="C535" s="17" t="s">
        <v>9</v>
      </c>
      <c r="D535" s="17" t="s">
        <v>1525</v>
      </c>
      <c r="E535" s="17" t="s">
        <v>1581</v>
      </c>
      <c r="F535" s="19"/>
      <c r="G535" s="20">
        <v>1.0</v>
      </c>
      <c r="H535" s="21">
        <v>143.0</v>
      </c>
      <c r="I535" s="21">
        <v>88.0</v>
      </c>
      <c r="J535" s="22">
        <v>10.0</v>
      </c>
      <c r="K535" s="50"/>
      <c r="L535" s="21" t="str">
        <f>IF(K535&gt;0,K535*I535,"")</f>
      </c>
      <c r="M535" s="52"/>
      <c r="N535" t="str">
        <f>IF(K535&gt;0,COUNTIF($K$7:K535,"&gt;0"),"")</f>
      </c>
      <c r="O535" t="s">
        <v>1582</v>
      </c>
      <c r="P535" t="s">
        <v>1579</v>
      </c>
    </row>
    <row r="536" spans="1:16" customHeight="1" ht="58">
      <c r="A536" s="16"/>
      <c r="B536" s="18" t="s">
        <v>1580</v>
      </c>
      <c r="C536" s="17" t="s">
        <v>9</v>
      </c>
      <c r="D536" s="17" t="s">
        <v>1521</v>
      </c>
      <c r="E536" s="17" t="s">
        <v>1581</v>
      </c>
      <c r="F536" s="19"/>
      <c r="G536" s="20">
        <v>1.0</v>
      </c>
      <c r="H536" s="21">
        <v>143.0</v>
      </c>
      <c r="I536" s="21">
        <v>88.0</v>
      </c>
      <c r="J536" s="22">
        <v>22.0</v>
      </c>
      <c r="K536" s="50"/>
      <c r="L536" s="21" t="str">
        <f>IF(K536&gt;0,K536*I536,"")</f>
      </c>
      <c r="M536" s="52"/>
      <c r="N536" t="str">
        <f>IF(K536&gt;0,COUNTIF($K$7:K536,"&gt;0"),"")</f>
      </c>
      <c r="O536" t="s">
        <v>1584</v>
      </c>
      <c r="P536" t="s">
        <v>1583</v>
      </c>
    </row>
    <row r="537" spans="1:16" customHeight="1" ht="58">
      <c r="A537" s="16"/>
      <c r="B537" s="18" t="s">
        <v>1580</v>
      </c>
      <c r="C537" s="17" t="s">
        <v>9</v>
      </c>
      <c r="D537" s="17" t="s">
        <v>1570</v>
      </c>
      <c r="E537" s="17" t="s">
        <v>1581</v>
      </c>
      <c r="F537" s="19"/>
      <c r="G537" s="20">
        <v>1.0</v>
      </c>
      <c r="H537" s="21">
        <v>143.0</v>
      </c>
      <c r="I537" s="21">
        <v>88.0</v>
      </c>
      <c r="J537" s="22">
        <v>54.0</v>
      </c>
      <c r="K537" s="50"/>
      <c r="L537" s="21" t="str">
        <f>IF(K537&gt;0,K537*I537,"")</f>
      </c>
      <c r="M537" s="52"/>
      <c r="N537" t="str">
        <f>IF(K537&gt;0,COUNTIF($K$7:K537,"&gt;0"),"")</f>
      </c>
      <c r="O537" t="s">
        <v>1586</v>
      </c>
      <c r="P537" t="s">
        <v>1585</v>
      </c>
    </row>
    <row r="538" spans="1:16" customHeight="1" ht="58">
      <c r="A538" s="16"/>
      <c r="B538" s="18" t="s">
        <v>1588</v>
      </c>
      <c r="C538" s="17" t="s">
        <v>9</v>
      </c>
      <c r="D538" s="17" t="s">
        <v>1589</v>
      </c>
      <c r="E538" s="17" t="s">
        <v>1590</v>
      </c>
      <c r="F538" s="19"/>
      <c r="G538" s="20">
        <v>1.0</v>
      </c>
      <c r="H538" s="21">
        <v>143.0</v>
      </c>
      <c r="I538" s="21">
        <v>88.0</v>
      </c>
      <c r="J538" s="22">
        <v>149.0</v>
      </c>
      <c r="K538" s="50"/>
      <c r="L538" s="21" t="str">
        <f>IF(K538&gt;0,K538*I538,"")</f>
      </c>
      <c r="M538" s="52"/>
      <c r="N538" t="str">
        <f>IF(K538&gt;0,COUNTIF($K$7:K538,"&gt;0"),"")</f>
      </c>
      <c r="O538" t="s">
        <v>1591</v>
      </c>
      <c r="P538" t="s">
        <v>1587</v>
      </c>
    </row>
    <row r="539" spans="1:16" customHeight="1" ht="58">
      <c r="A539" s="16"/>
      <c r="B539" s="18" t="s">
        <v>1588</v>
      </c>
      <c r="C539" s="17" t="s">
        <v>9</v>
      </c>
      <c r="D539" s="17" t="s">
        <v>1593</v>
      </c>
      <c r="E539" s="17" t="s">
        <v>1590</v>
      </c>
      <c r="F539" s="19"/>
      <c r="G539" s="20">
        <v>1.0</v>
      </c>
      <c r="H539" s="21">
        <v>143.0</v>
      </c>
      <c r="I539" s="21">
        <v>88.0</v>
      </c>
      <c r="J539" s="22">
        <v>136.0</v>
      </c>
      <c r="K539" s="50"/>
      <c r="L539" s="21" t="str">
        <f>IF(K539&gt;0,K539*I539,"")</f>
      </c>
      <c r="M539" s="52"/>
      <c r="N539" t="str">
        <f>IF(K539&gt;0,COUNTIF($K$7:K539,"&gt;0"),"")</f>
      </c>
      <c r="O539" t="s">
        <v>1594</v>
      </c>
      <c r="P539" t="s">
        <v>1592</v>
      </c>
    </row>
    <row r="540" spans="1:16" customHeight="1" ht="58">
      <c r="A540" s="16"/>
      <c r="B540" s="18" t="s">
        <v>1588</v>
      </c>
      <c r="C540" s="17" t="s">
        <v>9</v>
      </c>
      <c r="D540" s="17" t="s">
        <v>1596</v>
      </c>
      <c r="E540" s="17" t="s">
        <v>1590</v>
      </c>
      <c r="F540" s="19"/>
      <c r="G540" s="20">
        <v>1.0</v>
      </c>
      <c r="H540" s="21">
        <v>143.0</v>
      </c>
      <c r="I540" s="21">
        <v>88.0</v>
      </c>
      <c r="J540" s="22">
        <v>31.0</v>
      </c>
      <c r="K540" s="50"/>
      <c r="L540" s="21" t="str">
        <f>IF(K540&gt;0,K540*I540,"")</f>
      </c>
      <c r="M540" s="52"/>
      <c r="N540" t="str">
        <f>IF(K540&gt;0,COUNTIF($K$7:K540,"&gt;0"),"")</f>
      </c>
      <c r="O540" t="s">
        <v>1597</v>
      </c>
      <c r="P540" t="s">
        <v>1595</v>
      </c>
    </row>
    <row r="541" spans="1:16" customHeight="1" ht="58">
      <c r="A541" s="16"/>
      <c r="B541" s="18" t="s">
        <v>1599</v>
      </c>
      <c r="C541" s="17" t="s">
        <v>9</v>
      </c>
      <c r="D541" s="17" t="s">
        <v>1600</v>
      </c>
      <c r="E541" s="17" t="s">
        <v>1601</v>
      </c>
      <c r="F541" s="19"/>
      <c r="G541" s="20">
        <v>1.0</v>
      </c>
      <c r="H541" s="21">
        <v>154.0</v>
      </c>
      <c r="I541" s="21">
        <v>91.0</v>
      </c>
      <c r="J541" s="22">
        <v>49.0</v>
      </c>
      <c r="K541" s="50"/>
      <c r="L541" s="21" t="str">
        <f>IF(K541&gt;0,K541*I541,"")</f>
      </c>
      <c r="M541" s="52"/>
      <c r="N541" t="str">
        <f>IF(K541&gt;0,COUNTIF($K$7:K541,"&gt;0"),"")</f>
      </c>
      <c r="O541" t="s">
        <v>1602</v>
      </c>
      <c r="P541" t="s">
        <v>1598</v>
      </c>
    </row>
    <row r="542" spans="1:16" customHeight="1" ht="58">
      <c r="A542" s="16"/>
      <c r="B542" s="18" t="s">
        <v>1604</v>
      </c>
      <c r="C542" s="17" t="s">
        <v>9</v>
      </c>
      <c r="D542" s="17" t="s">
        <v>264</v>
      </c>
      <c r="E542" s="17" t="s">
        <v>1605</v>
      </c>
      <c r="F542" s="19"/>
      <c r="G542" s="20">
        <v>1.0</v>
      </c>
      <c r="H542" s="21">
        <v>143.0</v>
      </c>
      <c r="I542" s="21">
        <v>89.0</v>
      </c>
      <c r="J542" s="22">
        <v>786.0</v>
      </c>
      <c r="K542" s="50"/>
      <c r="L542" s="21" t="str">
        <f>IF(K542&gt;0,K542*I542,"")</f>
      </c>
      <c r="M542" s="52"/>
      <c r="N542" t="str">
        <f>IF(K542&gt;0,COUNTIF($K$7:K542,"&gt;0"),"")</f>
      </c>
      <c r="O542" t="s">
        <v>1606</v>
      </c>
      <c r="P542" t="s">
        <v>1603</v>
      </c>
    </row>
    <row r="543" spans="1:16" customHeight="1" ht="58">
      <c r="A543" s="16"/>
      <c r="B543" s="18" t="s">
        <v>1604</v>
      </c>
      <c r="C543" s="17" t="s">
        <v>9</v>
      </c>
      <c r="D543" s="17" t="s">
        <v>261</v>
      </c>
      <c r="E543" s="17" t="s">
        <v>1605</v>
      </c>
      <c r="F543" s="19"/>
      <c r="G543" s="20">
        <v>1.0</v>
      </c>
      <c r="H543" s="21">
        <v>143.0</v>
      </c>
      <c r="I543" s="21">
        <v>89.0</v>
      </c>
      <c r="J543" s="22">
        <v>2.0</v>
      </c>
      <c r="K543" s="50"/>
      <c r="L543" s="21" t="str">
        <f>IF(K543&gt;0,K543*I543,"")</f>
      </c>
      <c r="M543" s="52"/>
      <c r="N543" t="str">
        <f>IF(K543&gt;0,COUNTIF($K$7:K543,"&gt;0"),"")</f>
      </c>
      <c r="O543" t="s">
        <v>1608</v>
      </c>
      <c r="P543" t="s">
        <v>1607</v>
      </c>
    </row>
    <row r="544" spans="1:16" customHeight="1" ht="58">
      <c r="A544" s="16"/>
      <c r="B544" s="18" t="s">
        <v>1604</v>
      </c>
      <c r="C544" s="17" t="s">
        <v>9</v>
      </c>
      <c r="D544" s="17" t="s">
        <v>273</v>
      </c>
      <c r="E544" s="17" t="s">
        <v>1605</v>
      </c>
      <c r="F544" s="19"/>
      <c r="G544" s="20">
        <v>1.0</v>
      </c>
      <c r="H544" s="21">
        <v>143.0</v>
      </c>
      <c r="I544" s="21">
        <v>89.0</v>
      </c>
      <c r="J544" s="22">
        <v>10.0</v>
      </c>
      <c r="K544" s="50"/>
      <c r="L544" s="21" t="str">
        <f>IF(K544&gt;0,K544*I544,"")</f>
      </c>
      <c r="M544" s="52"/>
      <c r="N544" t="str">
        <f>IF(K544&gt;0,COUNTIF($K$7:K544,"&gt;0"),"")</f>
      </c>
      <c r="O544" t="s">
        <v>1610</v>
      </c>
      <c r="P544" t="s">
        <v>1609</v>
      </c>
    </row>
    <row r="545" spans="1:16" customHeight="1" ht="58">
      <c r="A545" s="16"/>
      <c r="B545" s="18" t="s">
        <v>1604</v>
      </c>
      <c r="C545" s="17" t="s">
        <v>9</v>
      </c>
      <c r="D545" s="17" t="s">
        <v>270</v>
      </c>
      <c r="E545" s="17" t="s">
        <v>1605</v>
      </c>
      <c r="F545" s="19"/>
      <c r="G545" s="20">
        <v>1.0</v>
      </c>
      <c r="H545" s="21">
        <v>143.0</v>
      </c>
      <c r="I545" s="21">
        <v>89.0</v>
      </c>
      <c r="J545" s="22">
        <v>34.0</v>
      </c>
      <c r="K545" s="50"/>
      <c r="L545" s="21" t="str">
        <f>IF(K545&gt;0,K545*I545,"")</f>
      </c>
      <c r="M545" s="52"/>
      <c r="N545" t="str">
        <f>IF(K545&gt;0,COUNTIF($K$7:K545,"&gt;0"),"")</f>
      </c>
      <c r="O545" t="s">
        <v>1612</v>
      </c>
      <c r="P545" t="s">
        <v>1611</v>
      </c>
    </row>
    <row r="546" spans="1:16" customHeight="1" ht="58">
      <c r="A546" s="16"/>
      <c r="B546" s="18" t="s">
        <v>1604</v>
      </c>
      <c r="C546" s="17" t="s">
        <v>9</v>
      </c>
      <c r="D546" s="17" t="s">
        <v>254</v>
      </c>
      <c r="E546" s="17" t="s">
        <v>1605</v>
      </c>
      <c r="F546" s="19"/>
      <c r="G546" s="20">
        <v>1.0</v>
      </c>
      <c r="H546" s="21">
        <v>143.0</v>
      </c>
      <c r="I546" s="21">
        <v>89.0</v>
      </c>
      <c r="J546" s="22">
        <v>76.0</v>
      </c>
      <c r="K546" s="50"/>
      <c r="L546" s="21" t="str">
        <f>IF(K546&gt;0,K546*I546,"")</f>
      </c>
      <c r="M546" s="52"/>
      <c r="N546" t="str">
        <f>IF(K546&gt;0,COUNTIF($K$7:K546,"&gt;0"),"")</f>
      </c>
      <c r="O546" t="s">
        <v>1614</v>
      </c>
      <c r="P546" t="s">
        <v>1613</v>
      </c>
    </row>
    <row r="547" spans="1:16" customHeight="1" ht="58">
      <c r="A547" s="16"/>
      <c r="B547" s="18" t="s">
        <v>1604</v>
      </c>
      <c r="C547" s="17" t="s">
        <v>9</v>
      </c>
      <c r="D547" s="17" t="s">
        <v>267</v>
      </c>
      <c r="E547" s="17" t="s">
        <v>1605</v>
      </c>
      <c r="F547" s="19"/>
      <c r="G547" s="20">
        <v>1.0</v>
      </c>
      <c r="H547" s="21">
        <v>143.0</v>
      </c>
      <c r="I547" s="21">
        <v>89.0</v>
      </c>
      <c r="J547" s="22">
        <v>7.0</v>
      </c>
      <c r="K547" s="50"/>
      <c r="L547" s="21" t="str">
        <f>IF(K547&gt;0,K547*I547,"")</f>
      </c>
      <c r="M547" s="52"/>
      <c r="N547" t="str">
        <f>IF(K547&gt;0,COUNTIF($K$7:K547,"&gt;0"),"")</f>
      </c>
      <c r="O547" t="s">
        <v>1616</v>
      </c>
      <c r="P547" t="s">
        <v>1615</v>
      </c>
    </row>
    <row r="548" spans="1:16" customHeight="1" ht="58">
      <c r="A548" s="16"/>
      <c r="B548" s="18" t="s">
        <v>1604</v>
      </c>
      <c r="C548" s="17" t="s">
        <v>9</v>
      </c>
      <c r="D548" s="17" t="s">
        <v>258</v>
      </c>
      <c r="E548" s="17" t="s">
        <v>1605</v>
      </c>
      <c r="F548" s="19"/>
      <c r="G548" s="20">
        <v>1.0</v>
      </c>
      <c r="H548" s="21">
        <v>143.0</v>
      </c>
      <c r="I548" s="21">
        <v>89.0</v>
      </c>
      <c r="J548" s="22">
        <v>41.0</v>
      </c>
      <c r="K548" s="50"/>
      <c r="L548" s="21" t="str">
        <f>IF(K548&gt;0,K548*I548,"")</f>
      </c>
      <c r="M548" s="52"/>
      <c r="N548" t="str">
        <f>IF(K548&gt;0,COUNTIF($K$7:K548,"&gt;0"),"")</f>
      </c>
      <c r="O548" t="s">
        <v>1618</v>
      </c>
      <c r="P548" t="s">
        <v>1617</v>
      </c>
    </row>
    <row r="549" spans="1:16" customHeight="1" ht="58">
      <c r="A549" s="16"/>
      <c r="B549" s="18" t="s">
        <v>1620</v>
      </c>
      <c r="C549" s="17" t="s">
        <v>9</v>
      </c>
      <c r="D549" s="17" t="s">
        <v>267</v>
      </c>
      <c r="E549" s="17" t="s">
        <v>1621</v>
      </c>
      <c r="F549" s="19"/>
      <c r="G549" s="20">
        <v>1.0</v>
      </c>
      <c r="H549" s="21">
        <v>143.0</v>
      </c>
      <c r="I549" s="21">
        <v>88.0</v>
      </c>
      <c r="J549" s="22">
        <v>97.0</v>
      </c>
      <c r="K549" s="50"/>
      <c r="L549" s="21" t="str">
        <f>IF(K549&gt;0,K549*I549,"")</f>
      </c>
      <c r="M549" s="52"/>
      <c r="N549" t="str">
        <f>IF(K549&gt;0,COUNTIF($K$7:K549,"&gt;0"),"")</f>
      </c>
      <c r="O549" t="s">
        <v>1622</v>
      </c>
      <c r="P549" t="s">
        <v>1619</v>
      </c>
    </row>
    <row r="550" spans="1:16" customHeight="1" ht="58">
      <c r="A550" s="16"/>
      <c r="B550" s="18" t="s">
        <v>1620</v>
      </c>
      <c r="C550" s="17" t="s">
        <v>9</v>
      </c>
      <c r="D550" s="17" t="s">
        <v>264</v>
      </c>
      <c r="E550" s="17" t="s">
        <v>1621</v>
      </c>
      <c r="F550" s="19"/>
      <c r="G550" s="20">
        <v>1.0</v>
      </c>
      <c r="H550" s="21">
        <v>143.0</v>
      </c>
      <c r="I550" s="21">
        <v>88.0</v>
      </c>
      <c r="J550" s="22">
        <v>6.0</v>
      </c>
      <c r="K550" s="50"/>
      <c r="L550" s="21" t="str">
        <f>IF(K550&gt;0,K550*I550,"")</f>
      </c>
      <c r="M550" s="52"/>
      <c r="N550" t="str">
        <f>IF(K550&gt;0,COUNTIF($K$7:K550,"&gt;0"),"")</f>
      </c>
      <c r="O550" t="s">
        <v>1624</v>
      </c>
      <c r="P550" t="s">
        <v>1623</v>
      </c>
    </row>
    <row r="551" spans="1:16" customHeight="1" ht="58">
      <c r="A551" s="16"/>
      <c r="B551" s="18" t="s">
        <v>1620</v>
      </c>
      <c r="C551" s="17" t="s">
        <v>9</v>
      </c>
      <c r="D551" s="17" t="s">
        <v>254</v>
      </c>
      <c r="E551" s="17" t="s">
        <v>1621</v>
      </c>
      <c r="F551" s="19"/>
      <c r="G551" s="20">
        <v>1.0</v>
      </c>
      <c r="H551" s="21">
        <v>143.0</v>
      </c>
      <c r="I551" s="21">
        <v>88.0</v>
      </c>
      <c r="J551" s="22">
        <v>71.0</v>
      </c>
      <c r="K551" s="50"/>
      <c r="L551" s="21" t="str">
        <f>IF(K551&gt;0,K551*I551,"")</f>
      </c>
      <c r="M551" s="52"/>
      <c r="N551" t="str">
        <f>IF(K551&gt;0,COUNTIF($K$7:K551,"&gt;0"),"")</f>
      </c>
      <c r="O551" t="s">
        <v>1626</v>
      </c>
      <c r="P551" t="s">
        <v>1625</v>
      </c>
    </row>
    <row r="552" spans="1:16" customHeight="1" ht="58">
      <c r="A552" s="16"/>
      <c r="B552" s="18" t="s">
        <v>1620</v>
      </c>
      <c r="C552" s="17" t="s">
        <v>9</v>
      </c>
      <c r="D552" s="17" t="s">
        <v>258</v>
      </c>
      <c r="E552" s="17" t="s">
        <v>1621</v>
      </c>
      <c r="F552" s="19"/>
      <c r="G552" s="20">
        <v>1.0</v>
      </c>
      <c r="H552" s="21">
        <v>143.0</v>
      </c>
      <c r="I552" s="21">
        <v>88.0</v>
      </c>
      <c r="J552" s="22">
        <v>43.0</v>
      </c>
      <c r="K552" s="50"/>
      <c r="L552" s="21" t="str">
        <f>IF(K552&gt;0,K552*I552,"")</f>
      </c>
      <c r="M552" s="52"/>
      <c r="N552" t="str">
        <f>IF(K552&gt;0,COUNTIF($K$7:K552,"&gt;0"),"")</f>
      </c>
      <c r="O552" t="s">
        <v>1628</v>
      </c>
      <c r="P552" t="s">
        <v>1627</v>
      </c>
    </row>
    <row r="553" spans="1:16" customHeight="1" ht="58">
      <c r="A553" s="16"/>
      <c r="B553" s="18" t="s">
        <v>1620</v>
      </c>
      <c r="C553" s="17" t="s">
        <v>9</v>
      </c>
      <c r="D553" s="17" t="s">
        <v>261</v>
      </c>
      <c r="E553" s="17" t="s">
        <v>1621</v>
      </c>
      <c r="F553" s="19"/>
      <c r="G553" s="20">
        <v>1.0</v>
      </c>
      <c r="H553" s="21">
        <v>143.0</v>
      </c>
      <c r="I553" s="21">
        <v>88.0</v>
      </c>
      <c r="J553" s="22">
        <v>28.0</v>
      </c>
      <c r="K553" s="50"/>
      <c r="L553" s="21" t="str">
        <f>IF(K553&gt;0,K553*I553,"")</f>
      </c>
      <c r="M553" s="52"/>
      <c r="N553" t="str">
        <f>IF(K553&gt;0,COUNTIF($K$7:K553,"&gt;0"),"")</f>
      </c>
      <c r="O553" t="s">
        <v>1630</v>
      </c>
      <c r="P553" t="s">
        <v>1629</v>
      </c>
    </row>
    <row r="554" spans="1:16" customHeight="1" ht="58">
      <c r="A554" s="16"/>
      <c r="B554" s="18" t="s">
        <v>1620</v>
      </c>
      <c r="C554" s="17" t="s">
        <v>9</v>
      </c>
      <c r="D554" s="17" t="s">
        <v>270</v>
      </c>
      <c r="E554" s="17" t="s">
        <v>1621</v>
      </c>
      <c r="F554" s="19"/>
      <c r="G554" s="20">
        <v>1.0</v>
      </c>
      <c r="H554" s="21">
        <v>143.0</v>
      </c>
      <c r="I554" s="21">
        <v>88.0</v>
      </c>
      <c r="J554" s="22">
        <v>178.0</v>
      </c>
      <c r="K554" s="50"/>
      <c r="L554" s="21" t="str">
        <f>IF(K554&gt;0,K554*I554,"")</f>
      </c>
      <c r="M554" s="52"/>
      <c r="N554" t="str">
        <f>IF(K554&gt;0,COUNTIF($K$7:K554,"&gt;0"),"")</f>
      </c>
      <c r="O554" t="s">
        <v>1632</v>
      </c>
      <c r="P554" t="s">
        <v>1631</v>
      </c>
    </row>
    <row r="555" spans="1:16" customHeight="1" ht="58">
      <c r="A555" s="16"/>
      <c r="B555" s="18" t="s">
        <v>1620</v>
      </c>
      <c r="C555" s="17" t="s">
        <v>9</v>
      </c>
      <c r="D555" s="17" t="s">
        <v>273</v>
      </c>
      <c r="E555" s="17" t="s">
        <v>1621</v>
      </c>
      <c r="F555" s="19"/>
      <c r="G555" s="20">
        <v>1.0</v>
      </c>
      <c r="H555" s="21">
        <v>143.0</v>
      </c>
      <c r="I555" s="21">
        <v>88.0</v>
      </c>
      <c r="J555" s="22">
        <v>52.0</v>
      </c>
      <c r="K555" s="50"/>
      <c r="L555" s="21" t="str">
        <f>IF(K555&gt;0,K555*I555,"")</f>
      </c>
      <c r="M555" s="52"/>
      <c r="N555" t="str">
        <f>IF(K555&gt;0,COUNTIF($K$7:K555,"&gt;0"),"")</f>
      </c>
      <c r="O555" t="s">
        <v>1634</v>
      </c>
      <c r="P555" t="s">
        <v>1633</v>
      </c>
    </row>
    <row r="556" spans="1:16" customHeight="1" ht="58">
      <c r="A556" s="16"/>
      <c r="B556" s="18" t="s">
        <v>1636</v>
      </c>
      <c r="C556" s="17" t="s">
        <v>9</v>
      </c>
      <c r="D556" s="17" t="s">
        <v>261</v>
      </c>
      <c r="E556" s="17" t="s">
        <v>1637</v>
      </c>
      <c r="F556" s="19"/>
      <c r="G556" s="20">
        <v>1.0</v>
      </c>
      <c r="H556" s="21">
        <v>143.0</v>
      </c>
      <c r="I556" s="21">
        <v>88.0</v>
      </c>
      <c r="J556" s="22">
        <v>134.0</v>
      </c>
      <c r="K556" s="50"/>
      <c r="L556" s="21" t="str">
        <f>IF(K556&gt;0,K556*I556,"")</f>
      </c>
      <c r="M556" s="52"/>
      <c r="N556" t="str">
        <f>IF(K556&gt;0,COUNTIF($K$7:K556,"&gt;0"),"")</f>
      </c>
      <c r="O556" t="s">
        <v>1638</v>
      </c>
      <c r="P556" t="s">
        <v>1635</v>
      </c>
    </row>
    <row r="557" spans="1:16" customHeight="1" ht="58">
      <c r="A557" s="16"/>
      <c r="B557" s="18" t="s">
        <v>1636</v>
      </c>
      <c r="C557" s="17" t="s">
        <v>9</v>
      </c>
      <c r="D557" s="17" t="s">
        <v>273</v>
      </c>
      <c r="E557" s="17" t="s">
        <v>1637</v>
      </c>
      <c r="F557" s="19"/>
      <c r="G557" s="20">
        <v>1.0</v>
      </c>
      <c r="H557" s="21">
        <v>143.0</v>
      </c>
      <c r="I557" s="21">
        <v>88.0</v>
      </c>
      <c r="J557" s="22">
        <v>94.0</v>
      </c>
      <c r="K557" s="50"/>
      <c r="L557" s="21" t="str">
        <f>IF(K557&gt;0,K557*I557,"")</f>
      </c>
      <c r="M557" s="52"/>
      <c r="N557" t="str">
        <f>IF(K557&gt;0,COUNTIF($K$7:K557,"&gt;0"),"")</f>
      </c>
      <c r="O557" t="s">
        <v>1640</v>
      </c>
      <c r="P557" t="s">
        <v>1639</v>
      </c>
    </row>
    <row r="558" spans="1:16" customHeight="1" ht="58">
      <c r="A558" s="16"/>
      <c r="B558" s="18" t="s">
        <v>1636</v>
      </c>
      <c r="C558" s="17" t="s">
        <v>9</v>
      </c>
      <c r="D558" s="17" t="s">
        <v>254</v>
      </c>
      <c r="E558" s="17" t="s">
        <v>1637</v>
      </c>
      <c r="F558" s="19"/>
      <c r="G558" s="20">
        <v>1.0</v>
      </c>
      <c r="H558" s="21">
        <v>143.0</v>
      </c>
      <c r="I558" s="21">
        <v>88.0</v>
      </c>
      <c r="J558" s="22">
        <v>49.0</v>
      </c>
      <c r="K558" s="50"/>
      <c r="L558" s="21" t="str">
        <f>IF(K558&gt;0,K558*I558,"")</f>
      </c>
      <c r="M558" s="52"/>
      <c r="N558" t="str">
        <f>IF(K558&gt;0,COUNTIF($K$7:K558,"&gt;0"),"")</f>
      </c>
      <c r="O558" t="s">
        <v>1642</v>
      </c>
      <c r="P558" t="s">
        <v>1641</v>
      </c>
    </row>
    <row r="559" spans="1:16" customHeight="1" ht="58">
      <c r="A559" s="16"/>
      <c r="B559" s="18" t="s">
        <v>1636</v>
      </c>
      <c r="C559" s="17" t="s">
        <v>9</v>
      </c>
      <c r="D559" s="17" t="s">
        <v>258</v>
      </c>
      <c r="E559" s="17" t="s">
        <v>1637</v>
      </c>
      <c r="F559" s="19"/>
      <c r="G559" s="20">
        <v>1.0</v>
      </c>
      <c r="H559" s="21">
        <v>143.0</v>
      </c>
      <c r="I559" s="21">
        <v>88.0</v>
      </c>
      <c r="J559" s="22">
        <v>3.0</v>
      </c>
      <c r="K559" s="50"/>
      <c r="L559" s="21" t="str">
        <f>IF(K559&gt;0,K559*I559,"")</f>
      </c>
      <c r="M559" s="52"/>
      <c r="N559" t="str">
        <f>IF(K559&gt;0,COUNTIF($K$7:K559,"&gt;0"),"")</f>
      </c>
      <c r="O559" t="s">
        <v>1644</v>
      </c>
      <c r="P559" t="s">
        <v>1643</v>
      </c>
    </row>
    <row r="560" spans="1:16" customHeight="1" ht="58">
      <c r="A560" s="16"/>
      <c r="B560" s="18" t="s">
        <v>1636</v>
      </c>
      <c r="C560" s="17" t="s">
        <v>9</v>
      </c>
      <c r="D560" s="17" t="s">
        <v>264</v>
      </c>
      <c r="E560" s="17" t="s">
        <v>1637</v>
      </c>
      <c r="F560" s="19"/>
      <c r="G560" s="20">
        <v>1.0</v>
      </c>
      <c r="H560" s="21">
        <v>143.0</v>
      </c>
      <c r="I560" s="21">
        <v>88.0</v>
      </c>
      <c r="J560" s="22">
        <v>36.0</v>
      </c>
      <c r="K560" s="50"/>
      <c r="L560" s="21" t="str">
        <f>IF(K560&gt;0,K560*I560,"")</f>
      </c>
      <c r="M560" s="52"/>
      <c r="N560" t="str">
        <f>IF(K560&gt;0,COUNTIF($K$7:K560,"&gt;0"),"")</f>
      </c>
      <c r="O560" t="s">
        <v>1646</v>
      </c>
      <c r="P560" t="s">
        <v>1645</v>
      </c>
    </row>
    <row r="561" spans="1:16" customHeight="1" ht="58">
      <c r="A561" s="16"/>
      <c r="B561" s="18" t="s">
        <v>1648</v>
      </c>
      <c r="C561" s="17" t="s">
        <v>9</v>
      </c>
      <c r="D561" s="17" t="s">
        <v>273</v>
      </c>
      <c r="E561" s="17" t="s">
        <v>1649</v>
      </c>
      <c r="F561" s="19"/>
      <c r="G561" s="20">
        <v>1.0</v>
      </c>
      <c r="H561" s="21">
        <v>154.0</v>
      </c>
      <c r="I561" s="21">
        <v>91.0</v>
      </c>
      <c r="J561" s="22">
        <v>149.0</v>
      </c>
      <c r="K561" s="50"/>
      <c r="L561" s="21" t="str">
        <f>IF(K561&gt;0,K561*I561,"")</f>
      </c>
      <c r="M561" s="52"/>
      <c r="N561" t="str">
        <f>IF(K561&gt;0,COUNTIF($K$7:K561,"&gt;0"),"")</f>
      </c>
      <c r="O561" t="s">
        <v>1650</v>
      </c>
      <c r="P561" t="s">
        <v>1647</v>
      </c>
    </row>
    <row r="562" spans="1:16" customHeight="1" ht="58">
      <c r="A562" s="16"/>
      <c r="B562" s="18" t="s">
        <v>1648</v>
      </c>
      <c r="C562" s="17" t="s">
        <v>9</v>
      </c>
      <c r="D562" s="17" t="s">
        <v>267</v>
      </c>
      <c r="E562" s="17" t="s">
        <v>1649</v>
      </c>
      <c r="F562" s="19"/>
      <c r="G562" s="20">
        <v>1.0</v>
      </c>
      <c r="H562" s="21">
        <v>154.0</v>
      </c>
      <c r="I562" s="21">
        <v>91.0</v>
      </c>
      <c r="J562" s="22">
        <v>59.0</v>
      </c>
      <c r="K562" s="50"/>
      <c r="L562" s="21" t="str">
        <f>IF(K562&gt;0,K562*I562,"")</f>
      </c>
      <c r="M562" s="52"/>
      <c r="N562" t="str">
        <f>IF(K562&gt;0,COUNTIF($K$7:K562,"&gt;0"),"")</f>
      </c>
      <c r="O562" t="s">
        <v>1652</v>
      </c>
      <c r="P562" t="s">
        <v>1651</v>
      </c>
    </row>
    <row r="563" spans="1:16" customHeight="1" ht="58">
      <c r="A563" s="16"/>
      <c r="B563" s="18" t="s">
        <v>1648</v>
      </c>
      <c r="C563" s="17" t="s">
        <v>9</v>
      </c>
      <c r="D563" s="17" t="s">
        <v>264</v>
      </c>
      <c r="E563" s="17" t="s">
        <v>1649</v>
      </c>
      <c r="F563" s="19"/>
      <c r="G563" s="20">
        <v>1.0</v>
      </c>
      <c r="H563" s="21">
        <v>154.0</v>
      </c>
      <c r="I563" s="21">
        <v>91.0</v>
      </c>
      <c r="J563" s="22">
        <v>22.0</v>
      </c>
      <c r="K563" s="50"/>
      <c r="L563" s="21" t="str">
        <f>IF(K563&gt;0,K563*I563,"")</f>
      </c>
      <c r="M563" s="52"/>
      <c r="N563" t="str">
        <f>IF(K563&gt;0,COUNTIF($K$7:K563,"&gt;0"),"")</f>
      </c>
      <c r="O563" t="s">
        <v>1654</v>
      </c>
      <c r="P563" t="s">
        <v>1653</v>
      </c>
    </row>
    <row r="564" spans="1:16" customHeight="1" ht="58">
      <c r="A564" s="16"/>
      <c r="B564" s="18" t="s">
        <v>1648</v>
      </c>
      <c r="C564" s="17" t="s">
        <v>9</v>
      </c>
      <c r="D564" s="17" t="s">
        <v>254</v>
      </c>
      <c r="E564" s="17" t="s">
        <v>1649</v>
      </c>
      <c r="F564" s="19"/>
      <c r="G564" s="20">
        <v>1.0</v>
      </c>
      <c r="H564" s="21">
        <v>154.0</v>
      </c>
      <c r="I564" s="21">
        <v>91.0</v>
      </c>
      <c r="J564" s="22">
        <v>58.0</v>
      </c>
      <c r="K564" s="50"/>
      <c r="L564" s="21" t="str">
        <f>IF(K564&gt;0,K564*I564,"")</f>
      </c>
      <c r="M564" s="52"/>
      <c r="N564" t="str">
        <f>IF(K564&gt;0,COUNTIF($K$7:K564,"&gt;0"),"")</f>
      </c>
      <c r="O564" t="s">
        <v>1656</v>
      </c>
      <c r="P564" t="s">
        <v>1655</v>
      </c>
    </row>
    <row r="565" spans="1:16" customHeight="1" ht="58">
      <c r="A565" s="16"/>
      <c r="B565" s="18" t="s">
        <v>1648</v>
      </c>
      <c r="C565" s="17" t="s">
        <v>9</v>
      </c>
      <c r="D565" s="17" t="s">
        <v>258</v>
      </c>
      <c r="E565" s="17" t="s">
        <v>1649</v>
      </c>
      <c r="F565" s="19"/>
      <c r="G565" s="20">
        <v>1.0</v>
      </c>
      <c r="H565" s="21">
        <v>154.0</v>
      </c>
      <c r="I565" s="21">
        <v>91.0</v>
      </c>
      <c r="J565" s="22">
        <v>57.0</v>
      </c>
      <c r="K565" s="50"/>
      <c r="L565" s="21" t="str">
        <f>IF(K565&gt;0,K565*I565,"")</f>
      </c>
      <c r="M565" s="52"/>
      <c r="N565" t="str">
        <f>IF(K565&gt;0,COUNTIF($K$7:K565,"&gt;0"),"")</f>
      </c>
      <c r="O565" t="s">
        <v>1658</v>
      </c>
      <c r="P565" t="s">
        <v>1657</v>
      </c>
    </row>
    <row r="566" spans="1:16" customHeight="1" ht="58">
      <c r="A566" s="16"/>
      <c r="B566" s="18" t="s">
        <v>1648</v>
      </c>
      <c r="C566" s="17" t="s">
        <v>9</v>
      </c>
      <c r="D566" s="17" t="s">
        <v>331</v>
      </c>
      <c r="E566" s="17" t="s">
        <v>1649</v>
      </c>
      <c r="F566" s="19"/>
      <c r="G566" s="20">
        <v>1.0</v>
      </c>
      <c r="H566" s="21">
        <v>154.0</v>
      </c>
      <c r="I566" s="21">
        <v>91.0</v>
      </c>
      <c r="J566" s="22">
        <v>93.0</v>
      </c>
      <c r="K566" s="50"/>
      <c r="L566" s="21" t="str">
        <f>IF(K566&gt;0,K566*I566,"")</f>
      </c>
      <c r="M566" s="52"/>
      <c r="N566" t="str">
        <f>IF(K566&gt;0,COUNTIF($K$7:K566,"&gt;0"),"")</f>
      </c>
      <c r="O566" t="s">
        <v>1660</v>
      </c>
      <c r="P566" t="s">
        <v>1659</v>
      </c>
    </row>
    <row r="567" spans="1:16" customHeight="1" ht="58">
      <c r="A567" s="16"/>
      <c r="B567" s="18" t="s">
        <v>1648</v>
      </c>
      <c r="C567" s="17" t="s">
        <v>9</v>
      </c>
      <c r="D567" s="17" t="s">
        <v>270</v>
      </c>
      <c r="E567" s="17" t="s">
        <v>1649</v>
      </c>
      <c r="F567" s="19"/>
      <c r="G567" s="20">
        <v>1.0</v>
      </c>
      <c r="H567" s="21">
        <v>154.0</v>
      </c>
      <c r="I567" s="21">
        <v>91.0</v>
      </c>
      <c r="J567" s="22">
        <v>67.0</v>
      </c>
      <c r="K567" s="50"/>
      <c r="L567" s="21" t="str">
        <f>IF(K567&gt;0,K567*I567,"")</f>
      </c>
      <c r="M567" s="52"/>
      <c r="N567" t="str">
        <f>IF(K567&gt;0,COUNTIF($K$7:K567,"&gt;0"),"")</f>
      </c>
      <c r="O567" t="s">
        <v>1662</v>
      </c>
      <c r="P567" t="s">
        <v>1661</v>
      </c>
    </row>
    <row r="568" spans="1:16" customHeight="1" ht="58">
      <c r="A568" s="16"/>
      <c r="B568" s="18" t="s">
        <v>1664</v>
      </c>
      <c r="C568" s="17" t="s">
        <v>9</v>
      </c>
      <c r="D568" s="17" t="s">
        <v>1570</v>
      </c>
      <c r="E568" s="17" t="s">
        <v>1665</v>
      </c>
      <c r="F568" s="19"/>
      <c r="G568" s="20">
        <v>1.0</v>
      </c>
      <c r="H568" s="21">
        <v>143.0</v>
      </c>
      <c r="I568" s="21">
        <v>88.0</v>
      </c>
      <c r="J568" s="22">
        <v>47.0</v>
      </c>
      <c r="K568" s="50"/>
      <c r="L568" s="21" t="str">
        <f>IF(K568&gt;0,K568*I568,"")</f>
      </c>
      <c r="M568" s="52"/>
      <c r="N568" t="str">
        <f>IF(K568&gt;0,COUNTIF($K$7:K568,"&gt;0"),"")</f>
      </c>
      <c r="O568" t="s">
        <v>1666</v>
      </c>
      <c r="P568" t="s">
        <v>1663</v>
      </c>
    </row>
    <row r="569" spans="1:16" customHeight="1" ht="58">
      <c r="A569" s="16"/>
      <c r="B569" s="18" t="s">
        <v>1664</v>
      </c>
      <c r="C569" s="17" t="s">
        <v>9</v>
      </c>
      <c r="D569" s="17" t="s">
        <v>1528</v>
      </c>
      <c r="E569" s="17" t="s">
        <v>1665</v>
      </c>
      <c r="F569" s="19"/>
      <c r="G569" s="20">
        <v>1.0</v>
      </c>
      <c r="H569" s="21">
        <v>143.0</v>
      </c>
      <c r="I569" s="21">
        <v>88.0</v>
      </c>
      <c r="J569" s="22">
        <v>23.0</v>
      </c>
      <c r="K569" s="50"/>
      <c r="L569" s="21" t="str">
        <f>IF(K569&gt;0,K569*I569,"")</f>
      </c>
      <c r="M569" s="52"/>
      <c r="N569" t="str">
        <f>IF(K569&gt;0,COUNTIF($K$7:K569,"&gt;0"),"")</f>
      </c>
      <c r="O569" t="s">
        <v>1668</v>
      </c>
      <c r="P569" t="s">
        <v>1667</v>
      </c>
    </row>
    <row r="570" spans="1:16" customHeight="1" ht="58">
      <c r="A570" s="16"/>
      <c r="B570" s="18" t="s">
        <v>1670</v>
      </c>
      <c r="C570" s="17" t="s">
        <v>9</v>
      </c>
      <c r="D570" s="17" t="s">
        <v>270</v>
      </c>
      <c r="E570" s="17" t="s">
        <v>1671</v>
      </c>
      <c r="F570" s="19"/>
      <c r="G570" s="20">
        <v>1.0</v>
      </c>
      <c r="H570" s="21">
        <v>143.0</v>
      </c>
      <c r="I570" s="21">
        <v>88.0</v>
      </c>
      <c r="J570" s="22">
        <v>50.0</v>
      </c>
      <c r="K570" s="50"/>
      <c r="L570" s="21" t="str">
        <f>IF(K570&gt;0,K570*I570,"")</f>
      </c>
      <c r="M570" s="52"/>
      <c r="N570" t="str">
        <f>IF(K570&gt;0,COUNTIF($K$7:K570,"&gt;0"),"")</f>
      </c>
      <c r="O570" t="s">
        <v>1672</v>
      </c>
      <c r="P570" t="s">
        <v>1669</v>
      </c>
    </row>
    <row r="571" spans="1:16" customHeight="1" ht="58">
      <c r="A571" s="16"/>
      <c r="B571" s="18" t="s">
        <v>1670</v>
      </c>
      <c r="C571" s="17" t="s">
        <v>9</v>
      </c>
      <c r="D571" s="17" t="s">
        <v>267</v>
      </c>
      <c r="E571" s="17" t="s">
        <v>1671</v>
      </c>
      <c r="F571" s="19"/>
      <c r="G571" s="20">
        <v>1.0</v>
      </c>
      <c r="H571" s="21">
        <v>143.0</v>
      </c>
      <c r="I571" s="21">
        <v>88.0</v>
      </c>
      <c r="J571" s="22">
        <v>79.0</v>
      </c>
      <c r="K571" s="50"/>
      <c r="L571" s="21" t="str">
        <f>IF(K571&gt;0,K571*I571,"")</f>
      </c>
      <c r="M571" s="52"/>
      <c r="N571" t="str">
        <f>IF(K571&gt;0,COUNTIF($K$7:K571,"&gt;0"),"")</f>
      </c>
      <c r="O571" t="s">
        <v>1674</v>
      </c>
      <c r="P571" t="s">
        <v>1673</v>
      </c>
    </row>
    <row r="572" spans="1:16" customHeight="1" ht="58">
      <c r="A572" s="16"/>
      <c r="B572" s="18" t="s">
        <v>1670</v>
      </c>
      <c r="C572" s="17" t="s">
        <v>9</v>
      </c>
      <c r="D572" s="17" t="s">
        <v>331</v>
      </c>
      <c r="E572" s="17" t="s">
        <v>1671</v>
      </c>
      <c r="F572" s="19"/>
      <c r="G572" s="20">
        <v>1.0</v>
      </c>
      <c r="H572" s="21">
        <v>143.0</v>
      </c>
      <c r="I572" s="21">
        <v>88.0</v>
      </c>
      <c r="J572" s="22">
        <v>116.0</v>
      </c>
      <c r="K572" s="50"/>
      <c r="L572" s="21" t="str">
        <f>IF(K572&gt;0,K572*I572,"")</f>
      </c>
      <c r="M572" s="52"/>
      <c r="N572" t="str">
        <f>IF(K572&gt;0,COUNTIF($K$7:K572,"&gt;0"),"")</f>
      </c>
      <c r="O572" t="s">
        <v>1676</v>
      </c>
      <c r="P572" t="s">
        <v>1675</v>
      </c>
    </row>
    <row r="573" spans="1:16" customHeight="1" ht="58">
      <c r="A573" s="16"/>
      <c r="B573" s="18" t="s">
        <v>1678</v>
      </c>
      <c r="C573" s="17" t="s">
        <v>9</v>
      </c>
      <c r="D573" s="17" t="s">
        <v>267</v>
      </c>
      <c r="E573" s="17" t="s">
        <v>1679</v>
      </c>
      <c r="F573" s="19"/>
      <c r="G573" s="20">
        <v>1.0</v>
      </c>
      <c r="H573" s="21">
        <v>154.0</v>
      </c>
      <c r="I573" s="21">
        <v>92.0</v>
      </c>
      <c r="J573" s="22">
        <v>158.0</v>
      </c>
      <c r="K573" s="50"/>
      <c r="L573" s="21" t="str">
        <f>IF(K573&gt;0,K573*I573,"")</f>
      </c>
      <c r="M573" s="52"/>
      <c r="N573" t="str">
        <f>IF(K573&gt;0,COUNTIF($K$7:K573,"&gt;0"),"")</f>
      </c>
      <c r="O573" t="s">
        <v>1680</v>
      </c>
      <c r="P573" t="s">
        <v>1677</v>
      </c>
    </row>
    <row r="574" spans="1:16" customHeight="1" ht="58">
      <c r="A574" s="16"/>
      <c r="B574" s="18" t="s">
        <v>1678</v>
      </c>
      <c r="C574" s="17" t="s">
        <v>9</v>
      </c>
      <c r="D574" s="17" t="s">
        <v>254</v>
      </c>
      <c r="E574" s="17" t="s">
        <v>1679</v>
      </c>
      <c r="F574" s="19"/>
      <c r="G574" s="20">
        <v>1.0</v>
      </c>
      <c r="H574" s="21">
        <v>154.0</v>
      </c>
      <c r="I574" s="21">
        <v>92.0</v>
      </c>
      <c r="J574" s="22">
        <v>32.0</v>
      </c>
      <c r="K574" s="50"/>
      <c r="L574" s="21" t="str">
        <f>IF(K574&gt;0,K574*I574,"")</f>
      </c>
      <c r="M574" s="52"/>
      <c r="N574" t="str">
        <f>IF(K574&gt;0,COUNTIF($K$7:K574,"&gt;0"),"")</f>
      </c>
      <c r="O574" t="s">
        <v>1682</v>
      </c>
      <c r="P574" t="s">
        <v>1681</v>
      </c>
    </row>
    <row r="575" spans="1:16" customHeight="1" ht="58">
      <c r="A575" s="16"/>
      <c r="B575" s="18" t="s">
        <v>1678</v>
      </c>
      <c r="C575" s="17" t="s">
        <v>9</v>
      </c>
      <c r="D575" s="17" t="s">
        <v>273</v>
      </c>
      <c r="E575" s="17" t="s">
        <v>1679</v>
      </c>
      <c r="F575" s="19"/>
      <c r="G575" s="20">
        <v>1.0</v>
      </c>
      <c r="H575" s="21">
        <v>154.0</v>
      </c>
      <c r="I575" s="21">
        <v>92.0</v>
      </c>
      <c r="J575" s="22">
        <v>21.0</v>
      </c>
      <c r="K575" s="50"/>
      <c r="L575" s="21" t="str">
        <f>IF(K575&gt;0,K575*I575,"")</f>
      </c>
      <c r="M575" s="52"/>
      <c r="N575" t="str">
        <f>IF(K575&gt;0,COUNTIF($K$7:K575,"&gt;0"),"")</f>
      </c>
      <c r="O575" t="s">
        <v>1684</v>
      </c>
      <c r="P575" t="s">
        <v>1683</v>
      </c>
    </row>
    <row r="576" spans="1:16" customHeight="1" ht="58">
      <c r="A576" s="16"/>
      <c r="B576" s="18" t="s">
        <v>1678</v>
      </c>
      <c r="C576" s="17" t="s">
        <v>9</v>
      </c>
      <c r="D576" s="17" t="s">
        <v>264</v>
      </c>
      <c r="E576" s="17" t="s">
        <v>1679</v>
      </c>
      <c r="F576" s="19"/>
      <c r="G576" s="20">
        <v>1.0</v>
      </c>
      <c r="H576" s="21">
        <v>154.0</v>
      </c>
      <c r="I576" s="21">
        <v>92.0</v>
      </c>
      <c r="J576" s="22">
        <v>7.0</v>
      </c>
      <c r="K576" s="50"/>
      <c r="L576" s="21" t="str">
        <f>IF(K576&gt;0,K576*I576,"")</f>
      </c>
      <c r="M576" s="52"/>
      <c r="N576" t="str">
        <f>IF(K576&gt;0,COUNTIF($K$7:K576,"&gt;0"),"")</f>
      </c>
      <c r="O576" t="s">
        <v>1686</v>
      </c>
      <c r="P576" t="s">
        <v>1685</v>
      </c>
    </row>
    <row r="577" spans="1:16" customHeight="1" ht="58">
      <c r="A577" s="16"/>
      <c r="B577" s="18" t="s">
        <v>1688</v>
      </c>
      <c r="C577" s="17" t="s">
        <v>9</v>
      </c>
      <c r="D577" s="17" t="s">
        <v>1528</v>
      </c>
      <c r="E577" s="17" t="s">
        <v>1689</v>
      </c>
      <c r="F577" s="19"/>
      <c r="G577" s="20">
        <v>1.0</v>
      </c>
      <c r="H577" s="21">
        <v>154.0</v>
      </c>
      <c r="I577" s="21">
        <v>91.0</v>
      </c>
      <c r="J577" s="22">
        <v>9.0</v>
      </c>
      <c r="K577" s="50"/>
      <c r="L577" s="21" t="str">
        <f>IF(K577&gt;0,K577*I577,"")</f>
      </c>
      <c r="M577" s="52"/>
      <c r="N577" t="str">
        <f>IF(K577&gt;0,COUNTIF($K$7:K577,"&gt;0"),"")</f>
      </c>
      <c r="O577" t="s">
        <v>1690</v>
      </c>
      <c r="P577" t="s">
        <v>1687</v>
      </c>
    </row>
    <row r="578" spans="1:16" customHeight="1" ht="58">
      <c r="A578" s="16"/>
      <c r="B578" s="18" t="s">
        <v>1688</v>
      </c>
      <c r="C578" s="17" t="s">
        <v>9</v>
      </c>
      <c r="D578" s="17" t="s">
        <v>1531</v>
      </c>
      <c r="E578" s="17" t="s">
        <v>1689</v>
      </c>
      <c r="F578" s="19"/>
      <c r="G578" s="20">
        <v>1.0</v>
      </c>
      <c r="H578" s="21">
        <v>154.0</v>
      </c>
      <c r="I578" s="21">
        <v>91.0</v>
      </c>
      <c r="J578" s="22">
        <v>37.0</v>
      </c>
      <c r="K578" s="50"/>
      <c r="L578" s="21" t="str">
        <f>IF(K578&gt;0,K578*I578,"")</f>
      </c>
      <c r="M578" s="52"/>
      <c r="N578" t="str">
        <f>IF(K578&gt;0,COUNTIF($K$7:K578,"&gt;0"),"")</f>
      </c>
      <c r="O578" t="s">
        <v>1692</v>
      </c>
      <c r="P578" t="s">
        <v>1691</v>
      </c>
    </row>
    <row r="579" spans="1:16" customHeight="1" ht="58">
      <c r="A579" s="16"/>
      <c r="B579" s="18" t="s">
        <v>1688</v>
      </c>
      <c r="C579" s="17" t="s">
        <v>9</v>
      </c>
      <c r="D579" s="17" t="s">
        <v>1525</v>
      </c>
      <c r="E579" s="17" t="s">
        <v>1689</v>
      </c>
      <c r="F579" s="19"/>
      <c r="G579" s="20">
        <v>1.0</v>
      </c>
      <c r="H579" s="21">
        <v>154.0</v>
      </c>
      <c r="I579" s="21">
        <v>91.0</v>
      </c>
      <c r="J579" s="22">
        <v>71.0</v>
      </c>
      <c r="K579" s="50"/>
      <c r="L579" s="21" t="str">
        <f>IF(K579&gt;0,K579*I579,"")</f>
      </c>
      <c r="M579" s="52"/>
      <c r="N579" t="str">
        <f>IF(K579&gt;0,COUNTIF($K$7:K579,"&gt;0"),"")</f>
      </c>
      <c r="O579" t="s">
        <v>1694</v>
      </c>
      <c r="P579" t="s">
        <v>1693</v>
      </c>
    </row>
    <row r="580" spans="1:16" customHeight="1" ht="58">
      <c r="A580" s="16"/>
      <c r="B580" s="18" t="s">
        <v>1696</v>
      </c>
      <c r="C580" s="17" t="s">
        <v>1697</v>
      </c>
      <c r="D580" s="17" t="s">
        <v>136</v>
      </c>
      <c r="E580" s="17" t="s">
        <v>31</v>
      </c>
      <c r="F580" s="19"/>
      <c r="G580" s="20">
        <v>1.0</v>
      </c>
      <c r="H580" s="21">
        <v>165.0</v>
      </c>
      <c r="I580" s="21">
        <v>159.0</v>
      </c>
      <c r="J580" s="22">
        <v>8.0</v>
      </c>
      <c r="K580" s="50"/>
      <c r="L580" s="21" t="str">
        <f>IF(K580&gt;0,K580*I580,"")</f>
      </c>
      <c r="M580" s="52"/>
      <c r="N580" t="str">
        <f>IF(K580&gt;0,COUNTIF($K$7:K580,"&gt;0"),"")</f>
      </c>
      <c r="O580" t="s">
        <v>1698</v>
      </c>
      <c r="P580" t="s">
        <v>1695</v>
      </c>
    </row>
    <row r="581" spans="1:16" customHeight="1" ht="58">
      <c r="A581" s="16"/>
      <c r="B581" s="18" t="s">
        <v>1700</v>
      </c>
      <c r="C581" s="17" t="s">
        <v>1701</v>
      </c>
      <c r="D581" s="17" t="s">
        <v>144</v>
      </c>
      <c r="E581" s="17" t="s">
        <v>1702</v>
      </c>
      <c r="F581" s="19"/>
      <c r="G581" s="20">
        <v>1.0</v>
      </c>
      <c r="H581" s="21">
        <v>418.0</v>
      </c>
      <c r="I581" s="21">
        <v>263.0</v>
      </c>
      <c r="J581" s="22">
        <v>518.0</v>
      </c>
      <c r="K581" s="50"/>
      <c r="L581" s="21" t="str">
        <f>IF(K581&gt;0,K581*I581,"")</f>
      </c>
      <c r="M581" s="52"/>
      <c r="N581" t="str">
        <f>IF(K581&gt;0,COUNTIF($K$7:K581,"&gt;0"),"")</f>
      </c>
      <c r="O581" t="s">
        <v>1703</v>
      </c>
      <c r="P581" t="s">
        <v>1699</v>
      </c>
    </row>
    <row r="582" spans="1:16" customHeight="1" ht="58">
      <c r="A582" s="16"/>
      <c r="B582" s="18" t="s">
        <v>1700</v>
      </c>
      <c r="C582" s="17" t="s">
        <v>1701</v>
      </c>
      <c r="D582" s="17" t="s">
        <v>1705</v>
      </c>
      <c r="E582" s="17" t="s">
        <v>1702</v>
      </c>
      <c r="F582" s="19"/>
      <c r="G582" s="20">
        <v>1.0</v>
      </c>
      <c r="H582" s="21">
        <v>418.0</v>
      </c>
      <c r="I582" s="21">
        <v>263.0</v>
      </c>
      <c r="J582" s="22">
        <v>608.0</v>
      </c>
      <c r="K582" s="50"/>
      <c r="L582" s="21" t="str">
        <f>IF(K582&gt;0,K582*I582,"")</f>
      </c>
      <c r="M582" s="52"/>
      <c r="N582" t="str">
        <f>IF(K582&gt;0,COUNTIF($K$7:K582,"&gt;0"),"")</f>
      </c>
      <c r="O582" t="s">
        <v>1706</v>
      </c>
      <c r="P582" t="s">
        <v>1704</v>
      </c>
    </row>
    <row r="583" spans="1:16" customHeight="1" ht="58">
      <c r="A583" s="16"/>
      <c r="B583" s="18" t="s">
        <v>1700</v>
      </c>
      <c r="C583" s="17" t="s">
        <v>1701</v>
      </c>
      <c r="D583" s="17" t="s">
        <v>1708</v>
      </c>
      <c r="E583" s="17" t="s">
        <v>1702</v>
      </c>
      <c r="F583" s="19"/>
      <c r="G583" s="20">
        <v>1.0</v>
      </c>
      <c r="H583" s="21">
        <v>418.0</v>
      </c>
      <c r="I583" s="21">
        <v>263.0</v>
      </c>
      <c r="J583" s="22">
        <v>491.0</v>
      </c>
      <c r="K583" s="50"/>
      <c r="L583" s="21" t="str">
        <f>IF(K583&gt;0,K583*I583,"")</f>
      </c>
      <c r="M583" s="52"/>
      <c r="N583" t="str">
        <f>IF(K583&gt;0,COUNTIF($K$7:K583,"&gt;0"),"")</f>
      </c>
      <c r="O583" t="s">
        <v>1709</v>
      </c>
      <c r="P583" t="s">
        <v>1707</v>
      </c>
    </row>
    <row r="584" spans="1:16" customHeight="1" ht="58">
      <c r="A584" s="16"/>
      <c r="B584" s="18" t="s">
        <v>1700</v>
      </c>
      <c r="C584" s="17" t="s">
        <v>1701</v>
      </c>
      <c r="D584" s="17" t="s">
        <v>660</v>
      </c>
      <c r="E584" s="17" t="s">
        <v>1702</v>
      </c>
      <c r="F584" s="19"/>
      <c r="G584" s="20">
        <v>1.0</v>
      </c>
      <c r="H584" s="21">
        <v>418.0</v>
      </c>
      <c r="I584" s="21">
        <v>263.0</v>
      </c>
      <c r="J584" s="22">
        <v>326.0</v>
      </c>
      <c r="K584" s="50"/>
      <c r="L584" s="21" t="str">
        <f>IF(K584&gt;0,K584*I584,"")</f>
      </c>
      <c r="M584" s="52"/>
      <c r="N584" t="str">
        <f>IF(K584&gt;0,COUNTIF($K$7:K584,"&gt;0"),"")</f>
      </c>
      <c r="O584" t="s">
        <v>1711</v>
      </c>
      <c r="P584" t="s">
        <v>1710</v>
      </c>
    </row>
    <row r="585" spans="1:16" customHeight="1" ht="58">
      <c r="A585" s="16"/>
      <c r="B585" s="18" t="s">
        <v>1700</v>
      </c>
      <c r="C585" s="17" t="s">
        <v>1701</v>
      </c>
      <c r="D585" s="17" t="s">
        <v>136</v>
      </c>
      <c r="E585" s="17" t="s">
        <v>1702</v>
      </c>
      <c r="F585" s="19"/>
      <c r="G585" s="20">
        <v>1.0</v>
      </c>
      <c r="H585" s="21">
        <v>418.0</v>
      </c>
      <c r="I585" s="21">
        <v>263.0</v>
      </c>
      <c r="J585" s="22">
        <v>519.0</v>
      </c>
      <c r="K585" s="50"/>
      <c r="L585" s="21" t="str">
        <f>IF(K585&gt;0,K585*I585,"")</f>
      </c>
      <c r="M585" s="52"/>
      <c r="N585" t="str">
        <f>IF(K585&gt;0,COUNTIF($K$7:K585,"&gt;0"),"")</f>
      </c>
      <c r="O585" t="s">
        <v>1713</v>
      </c>
      <c r="P585" t="s">
        <v>1712</v>
      </c>
    </row>
    <row r="586" spans="1:16" customHeight="1" ht="58">
      <c r="A586" s="16"/>
      <c r="B586" s="18" t="s">
        <v>1700</v>
      </c>
      <c r="C586" s="17" t="s">
        <v>1701</v>
      </c>
      <c r="D586" s="17" t="s">
        <v>761</v>
      </c>
      <c r="E586" s="17" t="s">
        <v>1702</v>
      </c>
      <c r="F586" s="19"/>
      <c r="G586" s="20">
        <v>1.0</v>
      </c>
      <c r="H586" s="21">
        <v>418.0</v>
      </c>
      <c r="I586" s="21">
        <v>263.0</v>
      </c>
      <c r="J586" s="22">
        <v>483.0</v>
      </c>
      <c r="K586" s="50"/>
      <c r="L586" s="21" t="str">
        <f>IF(K586&gt;0,K586*I586,"")</f>
      </c>
      <c r="M586" s="52"/>
      <c r="N586" t="str">
        <f>IF(K586&gt;0,COUNTIF($K$7:K586,"&gt;0"),"")</f>
      </c>
      <c r="O586" t="s">
        <v>1715</v>
      </c>
      <c r="P586" t="s">
        <v>1714</v>
      </c>
    </row>
    <row r="587" spans="1:16" customHeight="1" ht="58">
      <c r="A587" s="16"/>
      <c r="B587" s="18" t="s">
        <v>1700</v>
      </c>
      <c r="C587" s="17" t="s">
        <v>1701</v>
      </c>
      <c r="D587" s="17" t="s">
        <v>1717</v>
      </c>
      <c r="E587" s="17" t="s">
        <v>1702</v>
      </c>
      <c r="F587" s="19"/>
      <c r="G587" s="20">
        <v>1.0</v>
      </c>
      <c r="H587" s="21">
        <v>418.0</v>
      </c>
      <c r="I587" s="21">
        <v>263.0</v>
      </c>
      <c r="J587" s="22">
        <v>491.0</v>
      </c>
      <c r="K587" s="50"/>
      <c r="L587" s="21" t="str">
        <f>IF(K587&gt;0,K587*I587,"")</f>
      </c>
      <c r="M587" s="52"/>
      <c r="N587" t="str">
        <f>IF(K587&gt;0,COUNTIF($K$7:K587,"&gt;0"),"")</f>
      </c>
      <c r="O587" t="s">
        <v>1718</v>
      </c>
      <c r="P587" t="s">
        <v>1716</v>
      </c>
    </row>
    <row r="588" spans="1:16" customHeight="1" ht="58">
      <c r="A588" s="16"/>
      <c r="B588" s="18" t="s">
        <v>1700</v>
      </c>
      <c r="C588" s="17" t="s">
        <v>1701</v>
      </c>
      <c r="D588" s="17" t="s">
        <v>352</v>
      </c>
      <c r="E588" s="17" t="s">
        <v>1702</v>
      </c>
      <c r="F588" s="19"/>
      <c r="G588" s="20">
        <v>1.0</v>
      </c>
      <c r="H588" s="21">
        <v>418.0</v>
      </c>
      <c r="I588" s="21">
        <v>263.0</v>
      </c>
      <c r="J588" s="22">
        <v>478.0</v>
      </c>
      <c r="K588" s="50"/>
      <c r="L588" s="21" t="str">
        <f>IF(K588&gt;0,K588*I588,"")</f>
      </c>
      <c r="M588" s="52"/>
      <c r="N588" t="str">
        <f>IF(K588&gt;0,COUNTIF($K$7:K588,"&gt;0"),"")</f>
      </c>
      <c r="O588" t="s">
        <v>1720</v>
      </c>
      <c r="P588" t="s">
        <v>1719</v>
      </c>
    </row>
    <row r="589" spans="1:16" customHeight="1" ht="58">
      <c r="A589" s="16"/>
      <c r="B589" s="18" t="s">
        <v>1700</v>
      </c>
      <c r="C589" s="17" t="s">
        <v>1701</v>
      </c>
      <c r="D589" s="17" t="s">
        <v>1158</v>
      </c>
      <c r="E589" s="17" t="s">
        <v>1702</v>
      </c>
      <c r="F589" s="19"/>
      <c r="G589" s="20">
        <v>1.0</v>
      </c>
      <c r="H589" s="21">
        <v>418.0</v>
      </c>
      <c r="I589" s="21">
        <v>263.0</v>
      </c>
      <c r="J589" s="22">
        <v>475.0</v>
      </c>
      <c r="K589" s="50"/>
      <c r="L589" s="21" t="str">
        <f>IF(K589&gt;0,K589*I589,"")</f>
      </c>
      <c r="M589" s="52"/>
      <c r="N589" t="str">
        <f>IF(K589&gt;0,COUNTIF($K$7:K589,"&gt;0"),"")</f>
      </c>
      <c r="O589" t="s">
        <v>1722</v>
      </c>
      <c r="P589" t="s">
        <v>1721</v>
      </c>
    </row>
    <row r="590" spans="1:16" customHeight="1" ht="58">
      <c r="A590" s="16"/>
      <c r="B590" s="18" t="s">
        <v>1724</v>
      </c>
      <c r="C590" s="17" t="s">
        <v>1725</v>
      </c>
      <c r="D590" s="17" t="s">
        <v>1726</v>
      </c>
      <c r="E590" s="17" t="s">
        <v>1727</v>
      </c>
      <c r="F590" s="19"/>
      <c r="G590" s="20">
        <v>1.0</v>
      </c>
      <c r="H590" s="21">
        <v>418.0</v>
      </c>
      <c r="I590" s="21">
        <v>266.0</v>
      </c>
      <c r="J590" s="22">
        <v>333.0</v>
      </c>
      <c r="K590" s="50"/>
      <c r="L590" s="21" t="str">
        <f>IF(K590&gt;0,K590*I590,"")</f>
      </c>
      <c r="M590" s="52"/>
      <c r="N590" t="str">
        <f>IF(K590&gt;0,COUNTIF($K$7:K590,"&gt;0"),"")</f>
      </c>
      <c r="O590" t="s">
        <v>1728</v>
      </c>
      <c r="P590" t="s">
        <v>1723</v>
      </c>
    </row>
    <row r="591" spans="1:16" customHeight="1" ht="58">
      <c r="A591" s="16"/>
      <c r="B591" s="18" t="s">
        <v>1724</v>
      </c>
      <c r="C591" s="17" t="s">
        <v>1725</v>
      </c>
      <c r="D591" s="17" t="s">
        <v>136</v>
      </c>
      <c r="E591" s="17" t="s">
        <v>1727</v>
      </c>
      <c r="F591" s="19"/>
      <c r="G591" s="20">
        <v>1.0</v>
      </c>
      <c r="H591" s="21">
        <v>418.0</v>
      </c>
      <c r="I591" s="21">
        <v>266.0</v>
      </c>
      <c r="J591" s="22">
        <v>7.0</v>
      </c>
      <c r="K591" s="50"/>
      <c r="L591" s="21" t="str">
        <f>IF(K591&gt;0,K591*I591,"")</f>
      </c>
      <c r="M591" s="52"/>
      <c r="N591" t="str">
        <f>IF(K591&gt;0,COUNTIF($K$7:K591,"&gt;0"),"")</f>
      </c>
      <c r="O591" t="s">
        <v>1730</v>
      </c>
      <c r="P591" t="s">
        <v>1729</v>
      </c>
    </row>
    <row r="592" spans="1:16" customHeight="1" ht="58">
      <c r="A592" s="16"/>
      <c r="B592" s="18" t="s">
        <v>1724</v>
      </c>
      <c r="C592" s="17" t="s">
        <v>1725</v>
      </c>
      <c r="D592" s="17" t="s">
        <v>1732</v>
      </c>
      <c r="E592" s="17" t="s">
        <v>1727</v>
      </c>
      <c r="F592" s="19"/>
      <c r="G592" s="20">
        <v>1.0</v>
      </c>
      <c r="H592" s="21">
        <v>418.0</v>
      </c>
      <c r="I592" s="21">
        <v>266.0</v>
      </c>
      <c r="J592" s="22">
        <v>201.0</v>
      </c>
      <c r="K592" s="50"/>
      <c r="L592" s="21" t="str">
        <f>IF(K592&gt;0,K592*I592,"")</f>
      </c>
      <c r="M592" s="52"/>
      <c r="N592" t="str">
        <f>IF(K592&gt;0,COUNTIF($K$7:K592,"&gt;0"),"")</f>
      </c>
      <c r="O592" t="s">
        <v>1733</v>
      </c>
      <c r="P592" t="s">
        <v>1731</v>
      </c>
    </row>
    <row r="593" spans="1:16" customHeight="1" ht="58">
      <c r="A593" s="16"/>
      <c r="B593" s="18" t="s">
        <v>1724</v>
      </c>
      <c r="C593" s="17" t="s">
        <v>1725</v>
      </c>
      <c r="D593" s="17" t="s">
        <v>1735</v>
      </c>
      <c r="E593" s="17" t="s">
        <v>1727</v>
      </c>
      <c r="F593" s="19"/>
      <c r="G593" s="20">
        <v>1.0</v>
      </c>
      <c r="H593" s="21">
        <v>418.0</v>
      </c>
      <c r="I593" s="21">
        <v>266.0</v>
      </c>
      <c r="J593" s="22">
        <v>18.0</v>
      </c>
      <c r="K593" s="50"/>
      <c r="L593" s="21" t="str">
        <f>IF(K593&gt;0,K593*I593,"")</f>
      </c>
      <c r="M593" s="52"/>
      <c r="N593" t="str">
        <f>IF(K593&gt;0,COUNTIF($K$7:K593,"&gt;0"),"")</f>
      </c>
      <c r="O593" t="s">
        <v>1736</v>
      </c>
      <c r="P593" t="s">
        <v>1734</v>
      </c>
    </row>
    <row r="594" spans="1:16" customHeight="1" ht="58">
      <c r="A594" s="16"/>
      <c r="B594" s="18" t="s">
        <v>1724</v>
      </c>
      <c r="C594" s="17" t="s">
        <v>1725</v>
      </c>
      <c r="D594" s="17" t="s">
        <v>1482</v>
      </c>
      <c r="E594" s="17" t="s">
        <v>1727</v>
      </c>
      <c r="F594" s="19"/>
      <c r="G594" s="20">
        <v>1.0</v>
      </c>
      <c r="H594" s="21">
        <v>418.0</v>
      </c>
      <c r="I594" s="21">
        <v>266.0</v>
      </c>
      <c r="J594" s="22">
        <v>605.0</v>
      </c>
      <c r="K594" s="50"/>
      <c r="L594" s="21" t="str">
        <f>IF(K594&gt;0,K594*I594,"")</f>
      </c>
      <c r="M594" s="52"/>
      <c r="N594" t="str">
        <f>IF(K594&gt;0,COUNTIF($K$7:K594,"&gt;0"),"")</f>
      </c>
      <c r="O594" t="s">
        <v>1738</v>
      </c>
      <c r="P594" t="s">
        <v>1737</v>
      </c>
    </row>
    <row r="595" spans="1:16" customHeight="1" ht="58">
      <c r="A595" s="16"/>
      <c r="B595" s="18" t="s">
        <v>1724</v>
      </c>
      <c r="C595" s="17" t="s">
        <v>1725</v>
      </c>
      <c r="D595" s="17" t="s">
        <v>1740</v>
      </c>
      <c r="E595" s="17" t="s">
        <v>1727</v>
      </c>
      <c r="F595" s="19"/>
      <c r="G595" s="20">
        <v>1.0</v>
      </c>
      <c r="H595" s="21">
        <v>418.0</v>
      </c>
      <c r="I595" s="21">
        <v>266.0</v>
      </c>
      <c r="J595" s="22">
        <v>80.0</v>
      </c>
      <c r="K595" s="50"/>
      <c r="L595" s="21" t="str">
        <f>IF(K595&gt;0,K595*I595,"")</f>
      </c>
      <c r="M595" s="52"/>
      <c r="N595" t="str">
        <f>IF(K595&gt;0,COUNTIF($K$7:K595,"&gt;0"),"")</f>
      </c>
      <c r="O595" t="s">
        <v>1741</v>
      </c>
      <c r="P595" t="s">
        <v>1739</v>
      </c>
    </row>
    <row r="596" spans="1:16" customHeight="1" ht="58">
      <c r="A596" s="16"/>
      <c r="B596" s="18" t="s">
        <v>1724</v>
      </c>
      <c r="C596" s="17" t="s">
        <v>1725</v>
      </c>
      <c r="D596" s="17" t="s">
        <v>1176</v>
      </c>
      <c r="E596" s="17" t="s">
        <v>1727</v>
      </c>
      <c r="F596" s="19"/>
      <c r="G596" s="20">
        <v>1.0</v>
      </c>
      <c r="H596" s="21">
        <v>418.0</v>
      </c>
      <c r="I596" s="21">
        <v>266.0</v>
      </c>
      <c r="J596" s="22">
        <v>272.0</v>
      </c>
      <c r="K596" s="50"/>
      <c r="L596" s="21" t="str">
        <f>IF(K596&gt;0,K596*I596,"")</f>
      </c>
      <c r="M596" s="52"/>
      <c r="N596" t="str">
        <f>IF(K596&gt;0,COUNTIF($K$7:K596,"&gt;0"),"")</f>
      </c>
      <c r="O596" t="s">
        <v>1743</v>
      </c>
      <c r="P596" t="s">
        <v>1742</v>
      </c>
    </row>
    <row r="597" spans="1:16" customHeight="1" ht="58">
      <c r="A597" s="16"/>
      <c r="B597" s="18" t="s">
        <v>1724</v>
      </c>
      <c r="C597" s="17" t="s">
        <v>1725</v>
      </c>
      <c r="D597" s="17" t="s">
        <v>1077</v>
      </c>
      <c r="E597" s="17" t="s">
        <v>1727</v>
      </c>
      <c r="F597" s="19"/>
      <c r="G597" s="20">
        <v>1.0</v>
      </c>
      <c r="H597" s="21">
        <v>418.0</v>
      </c>
      <c r="I597" s="21">
        <v>266.0</v>
      </c>
      <c r="J597" s="22">
        <v>371.0</v>
      </c>
      <c r="K597" s="50"/>
      <c r="L597" s="21" t="str">
        <f>IF(K597&gt;0,K597*I597,"")</f>
      </c>
      <c r="M597" s="52"/>
      <c r="N597" t="str">
        <f>IF(K597&gt;0,COUNTIF($K$7:K597,"&gt;0"),"")</f>
      </c>
      <c r="O597" t="s">
        <v>1745</v>
      </c>
      <c r="P597" t="s">
        <v>1744</v>
      </c>
    </row>
    <row r="598" spans="1:16" customHeight="1" ht="58">
      <c r="A598" s="16"/>
      <c r="B598" s="18" t="s">
        <v>1747</v>
      </c>
      <c r="C598" s="17" t="s">
        <v>1748</v>
      </c>
      <c r="D598" s="17" t="s">
        <v>1749</v>
      </c>
      <c r="E598" s="17" t="s">
        <v>31</v>
      </c>
      <c r="F598" s="19"/>
      <c r="G598" s="20">
        <v>1.0</v>
      </c>
      <c r="H598" s="21">
        <v>165.0</v>
      </c>
      <c r="I598" s="21">
        <v>159.0</v>
      </c>
      <c r="J598" s="22">
        <v>18.0</v>
      </c>
      <c r="K598" s="50"/>
      <c r="L598" s="21" t="str">
        <f>IF(K598&gt;0,K598*I598,"")</f>
      </c>
      <c r="M598" s="52"/>
      <c r="N598" t="str">
        <f>IF(K598&gt;0,COUNTIF($K$7:K598,"&gt;0"),"")</f>
      </c>
      <c r="O598" t="s">
        <v>1750</v>
      </c>
      <c r="P598" t="s">
        <v>1746</v>
      </c>
    </row>
    <row r="599" spans="1:16" customHeight="1" ht="58">
      <c r="A599" s="16"/>
      <c r="B599" s="18" t="s">
        <v>1752</v>
      </c>
      <c r="C599" s="17" t="s">
        <v>1753</v>
      </c>
      <c r="D599" s="17" t="s">
        <v>1754</v>
      </c>
      <c r="E599" s="17" t="s">
        <v>1755</v>
      </c>
      <c r="F599" s="19"/>
      <c r="G599" s="20">
        <v>1.0</v>
      </c>
      <c r="H599" s="21">
        <v>231.0</v>
      </c>
      <c r="I599" s="21">
        <v>226.0</v>
      </c>
      <c r="J599" s="22">
        <v>26.0</v>
      </c>
      <c r="K599" s="50"/>
      <c r="L599" s="21" t="str">
        <f>IF(K599&gt;0,K599*I599,"")</f>
      </c>
      <c r="M599" s="52"/>
      <c r="N599" t="str">
        <f>IF(K599&gt;0,COUNTIF($K$7:K599,"&gt;0"),"")</f>
      </c>
      <c r="P599" t="s">
        <v>1751</v>
      </c>
    </row>
    <row r="600" spans="1:16" customHeight="1" ht="58">
      <c r="A600" s="16"/>
      <c r="B600" s="18" t="s">
        <v>1757</v>
      </c>
      <c r="C600" s="17" t="s">
        <v>1758</v>
      </c>
      <c r="D600" s="17" t="s">
        <v>1482</v>
      </c>
      <c r="E600" s="17" t="s">
        <v>1759</v>
      </c>
      <c r="F600" s="19"/>
      <c r="G600" s="20">
        <v>1.0</v>
      </c>
      <c r="H600" s="21">
        <v>363.0</v>
      </c>
      <c r="I600" s="21">
        <v>227.0</v>
      </c>
      <c r="J600" s="22">
        <v>136.0</v>
      </c>
      <c r="K600" s="50"/>
      <c r="L600" s="21" t="str">
        <f>IF(K600&gt;0,K600*I600,"")</f>
      </c>
      <c r="M600" s="52"/>
      <c r="N600" t="str">
        <f>IF(K600&gt;0,COUNTIF($K$7:K600,"&gt;0"),"")</f>
      </c>
      <c r="O600" t="s">
        <v>1760</v>
      </c>
      <c r="P600" t="s">
        <v>1756</v>
      </c>
    </row>
    <row r="601" spans="1:16" customHeight="1" ht="58">
      <c r="A601" s="16"/>
      <c r="B601" s="18" t="s">
        <v>1757</v>
      </c>
      <c r="C601" s="17" t="s">
        <v>1758</v>
      </c>
      <c r="D601" s="17" t="s">
        <v>1735</v>
      </c>
      <c r="E601" s="17" t="s">
        <v>1759</v>
      </c>
      <c r="F601" s="19"/>
      <c r="G601" s="20">
        <v>1.0</v>
      </c>
      <c r="H601" s="21">
        <v>363.0</v>
      </c>
      <c r="I601" s="21">
        <v>227.0</v>
      </c>
      <c r="J601" s="22">
        <v>272.0</v>
      </c>
      <c r="K601" s="50"/>
      <c r="L601" s="21" t="str">
        <f>IF(K601&gt;0,K601*I601,"")</f>
      </c>
      <c r="M601" s="52"/>
      <c r="N601" t="str">
        <f>IF(K601&gt;0,COUNTIF($K$7:K601,"&gt;0"),"")</f>
      </c>
      <c r="O601" t="s">
        <v>1762</v>
      </c>
      <c r="P601" t="s">
        <v>1761</v>
      </c>
    </row>
    <row r="602" spans="1:16" customHeight="1" ht="58">
      <c r="A602" s="16"/>
      <c r="B602" s="18" t="s">
        <v>1764</v>
      </c>
      <c r="C602" s="17" t="s">
        <v>1765</v>
      </c>
      <c r="D602" s="17" t="s">
        <v>761</v>
      </c>
      <c r="E602" s="17" t="s">
        <v>31</v>
      </c>
      <c r="F602" s="19"/>
      <c r="G602" s="20">
        <v>1.0</v>
      </c>
      <c r="H602" s="21">
        <v>154.0</v>
      </c>
      <c r="I602" s="21">
        <v>149.0</v>
      </c>
      <c r="J602" s="22">
        <v>26.0</v>
      </c>
      <c r="K602" s="50"/>
      <c r="L602" s="21" t="str">
        <f>IF(K602&gt;0,K602*I602,"")</f>
      </c>
      <c r="M602" s="52"/>
      <c r="N602" t="str">
        <f>IF(K602&gt;0,COUNTIF($K$7:K602,"&gt;0"),"")</f>
      </c>
      <c r="O602" t="s">
        <v>1766</v>
      </c>
      <c r="P602" t="s">
        <v>1763</v>
      </c>
    </row>
    <row r="603" spans="1:16" customHeight="1" ht="58">
      <c r="A603" s="16"/>
      <c r="B603" s="18" t="s">
        <v>1768</v>
      </c>
      <c r="C603" s="17" t="s">
        <v>1769</v>
      </c>
      <c r="D603" s="17" t="s">
        <v>1770</v>
      </c>
      <c r="E603" s="17" t="s">
        <v>31</v>
      </c>
      <c r="F603" s="19"/>
      <c r="G603" s="20">
        <v>1.0</v>
      </c>
      <c r="H603" s="21">
        <v>143.0</v>
      </c>
      <c r="I603" s="21">
        <v>143.0</v>
      </c>
      <c r="J603" s="22">
        <v>255.0</v>
      </c>
      <c r="K603" s="50"/>
      <c r="L603" s="21" t="str">
        <f>IF(K603&gt;0,K603*I603,"")</f>
      </c>
      <c r="M603" s="52"/>
      <c r="N603" t="str">
        <f>IF(K603&gt;0,COUNTIF($K$7:K603,"&gt;0"),"")</f>
      </c>
      <c r="O603" t="s">
        <v>1771</v>
      </c>
      <c r="P603" t="s">
        <v>1767</v>
      </c>
    </row>
    <row r="604" spans="1:16" customHeight="1" ht="58">
      <c r="A604" s="16"/>
      <c r="B604" s="18" t="s">
        <v>1768</v>
      </c>
      <c r="C604" s="17" t="s">
        <v>1769</v>
      </c>
      <c r="D604" s="17" t="s">
        <v>1773</v>
      </c>
      <c r="E604" s="17" t="s">
        <v>31</v>
      </c>
      <c r="F604" s="19"/>
      <c r="G604" s="20">
        <v>1.0</v>
      </c>
      <c r="H604" s="21">
        <v>143.0</v>
      </c>
      <c r="I604" s="21">
        <v>143.0</v>
      </c>
      <c r="J604" s="22">
        <v>16.0</v>
      </c>
      <c r="K604" s="50"/>
      <c r="L604" s="21" t="str">
        <f>IF(K604&gt;0,K604*I604,"")</f>
      </c>
      <c r="M604" s="52"/>
      <c r="N604" t="str">
        <f>IF(K604&gt;0,COUNTIF($K$7:K604,"&gt;0"),"")</f>
      </c>
      <c r="O604" t="s">
        <v>1774</v>
      </c>
      <c r="P604" t="s">
        <v>1772</v>
      </c>
    </row>
    <row r="605" spans="1:16" customHeight="1" ht="58">
      <c r="A605" s="16"/>
      <c r="B605" s="18" t="s">
        <v>1768</v>
      </c>
      <c r="C605" s="17" t="s">
        <v>1769</v>
      </c>
      <c r="D605" s="17" t="s">
        <v>1776</v>
      </c>
      <c r="E605" s="17" t="s">
        <v>31</v>
      </c>
      <c r="F605" s="19"/>
      <c r="G605" s="20">
        <v>1.0</v>
      </c>
      <c r="H605" s="21">
        <v>143.0</v>
      </c>
      <c r="I605" s="21">
        <v>143.0</v>
      </c>
      <c r="J605" s="22">
        <v>164.0</v>
      </c>
      <c r="K605" s="50"/>
      <c r="L605" s="21" t="str">
        <f>IF(K605&gt;0,K605*I605,"")</f>
      </c>
      <c r="M605" s="52"/>
      <c r="N605" t="str">
        <f>IF(K605&gt;0,COUNTIF($K$7:K605,"&gt;0"),"")</f>
      </c>
      <c r="O605" t="s">
        <v>1777</v>
      </c>
      <c r="P605" t="s">
        <v>1775</v>
      </c>
    </row>
    <row r="606" spans="1:16" customHeight="1" ht="58">
      <c r="A606" s="16"/>
      <c r="B606" s="18" t="s">
        <v>1768</v>
      </c>
      <c r="C606" s="17" t="s">
        <v>1769</v>
      </c>
      <c r="D606" s="17" t="s">
        <v>1779</v>
      </c>
      <c r="E606" s="17" t="s">
        <v>31</v>
      </c>
      <c r="F606" s="19"/>
      <c r="G606" s="20">
        <v>1.0</v>
      </c>
      <c r="H606" s="21">
        <v>143.0</v>
      </c>
      <c r="I606" s="21">
        <v>143.0</v>
      </c>
      <c r="J606" s="22">
        <v>13.0</v>
      </c>
      <c r="K606" s="50"/>
      <c r="L606" s="21" t="str">
        <f>IF(K606&gt;0,K606*I606,"")</f>
      </c>
      <c r="M606" s="52"/>
      <c r="N606" t="str">
        <f>IF(K606&gt;0,COUNTIF($K$7:K606,"&gt;0"),"")</f>
      </c>
      <c r="O606" t="s">
        <v>1780</v>
      </c>
      <c r="P606" t="s">
        <v>1778</v>
      </c>
    </row>
    <row r="607" spans="1:16" customHeight="1" ht="58">
      <c r="A607" s="16"/>
      <c r="B607" s="18" t="s">
        <v>1768</v>
      </c>
      <c r="C607" s="17" t="s">
        <v>1769</v>
      </c>
      <c r="D607" s="17" t="s">
        <v>356</v>
      </c>
      <c r="E607" s="17" t="s">
        <v>31</v>
      </c>
      <c r="F607" s="19"/>
      <c r="G607" s="20">
        <v>1.0</v>
      </c>
      <c r="H607" s="21">
        <v>143.0</v>
      </c>
      <c r="I607" s="21">
        <v>143.0</v>
      </c>
      <c r="J607" s="22">
        <v>271.0</v>
      </c>
      <c r="K607" s="50"/>
      <c r="L607" s="21" t="str">
        <f>IF(K607&gt;0,K607*I607,"")</f>
      </c>
      <c r="M607" s="52"/>
      <c r="N607" t="str">
        <f>IF(K607&gt;0,COUNTIF($K$7:K607,"&gt;0"),"")</f>
      </c>
      <c r="O607" t="s">
        <v>1782</v>
      </c>
      <c r="P607" t="s">
        <v>1781</v>
      </c>
    </row>
    <row r="608" spans="1:16" customHeight="1" ht="58">
      <c r="A608" s="16"/>
      <c r="B608" s="18" t="s">
        <v>1768</v>
      </c>
      <c r="C608" s="17" t="s">
        <v>1769</v>
      </c>
      <c r="D608" s="17" t="s">
        <v>1176</v>
      </c>
      <c r="E608" s="17" t="s">
        <v>31</v>
      </c>
      <c r="F608" s="19"/>
      <c r="G608" s="20">
        <v>1.0</v>
      </c>
      <c r="H608" s="21">
        <v>143.0</v>
      </c>
      <c r="I608" s="21">
        <v>143.0</v>
      </c>
      <c r="J608" s="22">
        <v>34.0</v>
      </c>
      <c r="K608" s="50"/>
      <c r="L608" s="21" t="str">
        <f>IF(K608&gt;0,K608*I608,"")</f>
      </c>
      <c r="M608" s="52"/>
      <c r="N608" t="str">
        <f>IF(K608&gt;0,COUNTIF($K$7:K608,"&gt;0"),"")</f>
      </c>
      <c r="O608" t="s">
        <v>1784</v>
      </c>
      <c r="P608" t="s">
        <v>1783</v>
      </c>
    </row>
    <row r="609" spans="1:16" customHeight="1" ht="58">
      <c r="A609" s="16"/>
      <c r="B609" s="18" t="s">
        <v>1768</v>
      </c>
      <c r="C609" s="17" t="s">
        <v>1769</v>
      </c>
      <c r="D609" s="17" t="s">
        <v>1786</v>
      </c>
      <c r="E609" s="17" t="s">
        <v>31</v>
      </c>
      <c r="F609" s="19"/>
      <c r="G609" s="20">
        <v>1.0</v>
      </c>
      <c r="H609" s="21">
        <v>143.0</v>
      </c>
      <c r="I609" s="21">
        <v>143.0</v>
      </c>
      <c r="J609" s="22">
        <v>190.0</v>
      </c>
      <c r="K609" s="50"/>
      <c r="L609" s="21" t="str">
        <f>IF(K609&gt;0,K609*I609,"")</f>
      </c>
      <c r="M609" s="52"/>
      <c r="N609" t="str">
        <f>IF(K609&gt;0,COUNTIF($K$7:K609,"&gt;0"),"")</f>
      </c>
      <c r="O609" t="s">
        <v>1787</v>
      </c>
      <c r="P609" t="s">
        <v>1785</v>
      </c>
    </row>
    <row r="610" spans="1:16" customHeight="1" ht="58">
      <c r="A610" s="16"/>
      <c r="B610" s="18" t="s">
        <v>1768</v>
      </c>
      <c r="C610" s="17" t="s">
        <v>1769</v>
      </c>
      <c r="D610" s="17" t="s">
        <v>1789</v>
      </c>
      <c r="E610" s="17" t="s">
        <v>31</v>
      </c>
      <c r="F610" s="19"/>
      <c r="G610" s="20">
        <v>1.0</v>
      </c>
      <c r="H610" s="21">
        <v>143.0</v>
      </c>
      <c r="I610" s="21">
        <v>143.0</v>
      </c>
      <c r="J610" s="22">
        <v>1.0</v>
      </c>
      <c r="K610" s="50"/>
      <c r="L610" s="21" t="str">
        <f>IF(K610&gt;0,K610*I610,"")</f>
      </c>
      <c r="M610" s="52"/>
      <c r="N610" t="str">
        <f>IF(K610&gt;0,COUNTIF($K$7:K610,"&gt;0"),"")</f>
      </c>
      <c r="O610" t="s">
        <v>1790</v>
      </c>
      <c r="P610" t="s">
        <v>1788</v>
      </c>
    </row>
    <row r="611" spans="1:16" customHeight="1" ht="58">
      <c r="A611" s="16"/>
      <c r="B611" s="18" t="s">
        <v>1792</v>
      </c>
      <c r="C611" s="17" t="s">
        <v>1793</v>
      </c>
      <c r="D611" s="17" t="s">
        <v>1794</v>
      </c>
      <c r="E611" s="17" t="s">
        <v>31</v>
      </c>
      <c r="F611" s="19"/>
      <c r="G611" s="20">
        <v>1.0</v>
      </c>
      <c r="H611" s="21">
        <v>165.0</v>
      </c>
      <c r="I611" s="21">
        <v>161.0</v>
      </c>
      <c r="J611" s="22">
        <v>37.0</v>
      </c>
      <c r="K611" s="50"/>
      <c r="L611" s="21" t="str">
        <f>IF(K611&gt;0,K611*I611,"")</f>
      </c>
      <c r="M611" s="52"/>
      <c r="N611" t="str">
        <f>IF(K611&gt;0,COUNTIF($K$7:K611,"&gt;0"),"")</f>
      </c>
      <c r="O611" t="s">
        <v>1795</v>
      </c>
      <c r="P611" t="s">
        <v>1791</v>
      </c>
    </row>
    <row r="612" spans="1:16" customHeight="1" ht="58">
      <c r="A612" s="16"/>
      <c r="B612" s="18" t="s">
        <v>1797</v>
      </c>
      <c r="C612" s="17" t="s">
        <v>1798</v>
      </c>
      <c r="D612" s="17" t="s">
        <v>1770</v>
      </c>
      <c r="E612" s="17" t="s">
        <v>31</v>
      </c>
      <c r="F612" s="19"/>
      <c r="G612" s="20">
        <v>1.0</v>
      </c>
      <c r="H612" s="21">
        <v>379.5</v>
      </c>
      <c r="I612" s="21">
        <v>236.0</v>
      </c>
      <c r="J612" s="22">
        <v>51.0</v>
      </c>
      <c r="K612" s="50"/>
      <c r="L612" s="21" t="str">
        <f>IF(K612&gt;0,K612*I612,"")</f>
      </c>
      <c r="M612" s="52"/>
      <c r="N612" t="str">
        <f>IF(K612&gt;0,COUNTIF($K$7:K612,"&gt;0"),"")</f>
      </c>
      <c r="O612" t="s">
        <v>1799</v>
      </c>
      <c r="P612" t="s">
        <v>1796</v>
      </c>
    </row>
    <row r="613" spans="1:16" customHeight="1" ht="58">
      <c r="A613" s="16"/>
      <c r="B613" s="18" t="s">
        <v>1797</v>
      </c>
      <c r="C613" s="17" t="s">
        <v>1798</v>
      </c>
      <c r="D613" s="17" t="s">
        <v>1203</v>
      </c>
      <c r="E613" s="17" t="s">
        <v>31</v>
      </c>
      <c r="F613" s="19"/>
      <c r="G613" s="20">
        <v>1.0</v>
      </c>
      <c r="H613" s="21">
        <v>379.5</v>
      </c>
      <c r="I613" s="21">
        <v>236.0</v>
      </c>
      <c r="J613" s="22">
        <v>185.0</v>
      </c>
      <c r="K613" s="50"/>
      <c r="L613" s="21" t="str">
        <f>IF(K613&gt;0,K613*I613,"")</f>
      </c>
      <c r="M613" s="52"/>
      <c r="N613" t="str">
        <f>IF(K613&gt;0,COUNTIF($K$7:K613,"&gt;0"),"")</f>
      </c>
      <c r="O613" t="s">
        <v>1801</v>
      </c>
      <c r="P613" t="s">
        <v>1800</v>
      </c>
    </row>
    <row r="614" spans="1:16" customHeight="1" ht="58">
      <c r="A614" s="16"/>
      <c r="B614" s="18" t="s">
        <v>1797</v>
      </c>
      <c r="C614" s="17" t="s">
        <v>1798</v>
      </c>
      <c r="D614" s="17" t="s">
        <v>136</v>
      </c>
      <c r="E614" s="17" t="s">
        <v>31</v>
      </c>
      <c r="F614" s="19"/>
      <c r="G614" s="20">
        <v>1.0</v>
      </c>
      <c r="H614" s="21">
        <v>379.5</v>
      </c>
      <c r="I614" s="21">
        <v>236.0</v>
      </c>
      <c r="J614" s="22">
        <v>122.0</v>
      </c>
      <c r="K614" s="50"/>
      <c r="L614" s="21" t="str">
        <f>IF(K614&gt;0,K614*I614,"")</f>
      </c>
      <c r="M614" s="52"/>
      <c r="N614" t="str">
        <f>IF(K614&gt;0,COUNTIF($K$7:K614,"&gt;0"),"")</f>
      </c>
      <c r="O614" t="s">
        <v>1803</v>
      </c>
      <c r="P614" t="s">
        <v>1802</v>
      </c>
    </row>
    <row r="615" spans="1:16" customHeight="1" ht="58">
      <c r="A615" s="16"/>
      <c r="B615" s="18" t="s">
        <v>1797</v>
      </c>
      <c r="C615" s="17" t="s">
        <v>1798</v>
      </c>
      <c r="D615" s="17" t="s">
        <v>1161</v>
      </c>
      <c r="E615" s="17" t="s">
        <v>31</v>
      </c>
      <c r="F615" s="19"/>
      <c r="G615" s="20">
        <v>1.0</v>
      </c>
      <c r="H615" s="21">
        <v>379.5</v>
      </c>
      <c r="I615" s="21">
        <v>236.0</v>
      </c>
      <c r="J615" s="22">
        <v>233.0</v>
      </c>
      <c r="K615" s="50"/>
      <c r="L615" s="21" t="str">
        <f>IF(K615&gt;0,K615*I615,"")</f>
      </c>
      <c r="M615" s="52"/>
      <c r="N615" t="str">
        <f>IF(K615&gt;0,COUNTIF($K$7:K615,"&gt;0"),"")</f>
      </c>
      <c r="O615" t="s">
        <v>1805</v>
      </c>
      <c r="P615" t="s">
        <v>1804</v>
      </c>
    </row>
    <row r="616" spans="1:16" customHeight="1" ht="58">
      <c r="A616" s="16"/>
      <c r="B616" s="18" t="s">
        <v>1797</v>
      </c>
      <c r="C616" s="17" t="s">
        <v>1798</v>
      </c>
      <c r="D616" s="17" t="s">
        <v>1807</v>
      </c>
      <c r="E616" s="17" t="s">
        <v>31</v>
      </c>
      <c r="F616" s="19"/>
      <c r="G616" s="20">
        <v>1.0</v>
      </c>
      <c r="H616" s="21">
        <v>379.5</v>
      </c>
      <c r="I616" s="21">
        <v>236.0</v>
      </c>
      <c r="J616" s="22">
        <v>32.0</v>
      </c>
      <c r="K616" s="50"/>
      <c r="L616" s="21" t="str">
        <f>IF(K616&gt;0,K616*I616,"")</f>
      </c>
      <c r="M616" s="52"/>
      <c r="N616" t="str">
        <f>IF(K616&gt;0,COUNTIF($K$7:K616,"&gt;0"),"")</f>
      </c>
      <c r="O616" t="s">
        <v>1808</v>
      </c>
      <c r="P616" t="s">
        <v>1806</v>
      </c>
    </row>
    <row r="617" spans="1:16" customHeight="1" ht="58">
      <c r="A617" s="16"/>
      <c r="B617" s="18" t="s">
        <v>1797</v>
      </c>
      <c r="C617" s="17" t="s">
        <v>1798</v>
      </c>
      <c r="D617" s="17" t="s">
        <v>352</v>
      </c>
      <c r="E617" s="17" t="s">
        <v>31</v>
      </c>
      <c r="F617" s="19"/>
      <c r="G617" s="20">
        <v>1.0</v>
      </c>
      <c r="H617" s="21">
        <v>379.5</v>
      </c>
      <c r="I617" s="21">
        <v>236.0</v>
      </c>
      <c r="J617" s="22">
        <v>315.0</v>
      </c>
      <c r="K617" s="50"/>
      <c r="L617" s="21" t="str">
        <f>IF(K617&gt;0,K617*I617,"")</f>
      </c>
      <c r="M617" s="52"/>
      <c r="N617" t="str">
        <f>IF(K617&gt;0,COUNTIF($K$7:K617,"&gt;0"),"")</f>
      </c>
      <c r="O617" t="s">
        <v>1810</v>
      </c>
      <c r="P617" t="s">
        <v>1809</v>
      </c>
    </row>
    <row r="618" spans="1:16" customHeight="1" ht="58">
      <c r="A618" s="16"/>
      <c r="B618" s="18" t="s">
        <v>1797</v>
      </c>
      <c r="C618" s="17" t="s">
        <v>1798</v>
      </c>
      <c r="D618" s="17" t="s">
        <v>1812</v>
      </c>
      <c r="E618" s="17" t="s">
        <v>31</v>
      </c>
      <c r="F618" s="19"/>
      <c r="G618" s="20">
        <v>1.0</v>
      </c>
      <c r="H618" s="21">
        <v>379.5</v>
      </c>
      <c r="I618" s="21">
        <v>236.0</v>
      </c>
      <c r="J618" s="22">
        <v>12.0</v>
      </c>
      <c r="K618" s="50"/>
      <c r="L618" s="21" t="str">
        <f>IF(K618&gt;0,K618*I618,"")</f>
      </c>
      <c r="M618" s="52"/>
      <c r="N618" t="str">
        <f>IF(K618&gt;0,COUNTIF($K$7:K618,"&gt;0"),"")</f>
      </c>
      <c r="O618" t="s">
        <v>1813</v>
      </c>
      <c r="P618" t="s">
        <v>1811</v>
      </c>
    </row>
    <row r="619" spans="1:16" customHeight="1" ht="58">
      <c r="A619" s="16"/>
      <c r="B619" s="18" t="s">
        <v>1797</v>
      </c>
      <c r="C619" s="17" t="s">
        <v>1798</v>
      </c>
      <c r="D619" s="17" t="s">
        <v>764</v>
      </c>
      <c r="E619" s="17" t="s">
        <v>31</v>
      </c>
      <c r="F619" s="19"/>
      <c r="G619" s="20">
        <v>1.0</v>
      </c>
      <c r="H619" s="21">
        <v>379.5</v>
      </c>
      <c r="I619" s="21">
        <v>236.0</v>
      </c>
      <c r="J619" s="22">
        <v>61.0</v>
      </c>
      <c r="K619" s="50"/>
      <c r="L619" s="21" t="str">
        <f>IF(K619&gt;0,K619*I619,"")</f>
      </c>
      <c r="M619" s="52"/>
      <c r="N619" t="str">
        <f>IF(K619&gt;0,COUNTIF($K$7:K619,"&gt;0"),"")</f>
      </c>
      <c r="O619" t="s">
        <v>1815</v>
      </c>
      <c r="P619" t="s">
        <v>1814</v>
      </c>
    </row>
    <row r="620" spans="1:16" customHeight="1" ht="58">
      <c r="A620" s="16"/>
      <c r="B620" s="18" t="s">
        <v>1797</v>
      </c>
      <c r="C620" s="17" t="s">
        <v>1798</v>
      </c>
      <c r="D620" s="17" t="s">
        <v>1096</v>
      </c>
      <c r="E620" s="17" t="s">
        <v>31</v>
      </c>
      <c r="F620" s="19"/>
      <c r="G620" s="20">
        <v>1.0</v>
      </c>
      <c r="H620" s="21">
        <v>379.5</v>
      </c>
      <c r="I620" s="21">
        <v>236.0</v>
      </c>
      <c r="J620" s="22">
        <v>54.0</v>
      </c>
      <c r="K620" s="50"/>
      <c r="L620" s="21" t="str">
        <f>IF(K620&gt;0,K620*I620,"")</f>
      </c>
      <c r="M620" s="52"/>
      <c r="N620" t="str">
        <f>IF(K620&gt;0,COUNTIF($K$7:K620,"&gt;0"),"")</f>
      </c>
      <c r="O620" t="s">
        <v>1817</v>
      </c>
      <c r="P620" t="s">
        <v>1816</v>
      </c>
    </row>
    <row r="621" spans="1:16" customHeight="1" ht="58">
      <c r="A621" s="16"/>
      <c r="B621" s="18" t="s">
        <v>1797</v>
      </c>
      <c r="C621" s="17" t="s">
        <v>1798</v>
      </c>
      <c r="D621" s="17" t="s">
        <v>144</v>
      </c>
      <c r="E621" s="17" t="s">
        <v>31</v>
      </c>
      <c r="F621" s="19"/>
      <c r="G621" s="20">
        <v>1.0</v>
      </c>
      <c r="H621" s="21">
        <v>379.5</v>
      </c>
      <c r="I621" s="21">
        <v>236.0</v>
      </c>
      <c r="J621" s="22">
        <v>303.0</v>
      </c>
      <c r="K621" s="50"/>
      <c r="L621" s="21" t="str">
        <f>IF(K621&gt;0,K621*I621,"")</f>
      </c>
      <c r="M621" s="52"/>
      <c r="N621" t="str">
        <f>IF(K621&gt;0,COUNTIF($K$7:K621,"&gt;0"),"")</f>
      </c>
      <c r="O621" t="s">
        <v>1819</v>
      </c>
      <c r="P621" t="s">
        <v>1818</v>
      </c>
    </row>
    <row r="622" spans="1:16" customHeight="1" ht="58">
      <c r="A622" s="16"/>
      <c r="B622" s="18" t="s">
        <v>1797</v>
      </c>
      <c r="C622" s="17" t="s">
        <v>1798</v>
      </c>
      <c r="D622" s="17" t="s">
        <v>1144</v>
      </c>
      <c r="E622" s="17" t="s">
        <v>31</v>
      </c>
      <c r="F622" s="19"/>
      <c r="G622" s="20">
        <v>1.0</v>
      </c>
      <c r="H622" s="21">
        <v>379.5</v>
      </c>
      <c r="I622" s="21">
        <v>236.0</v>
      </c>
      <c r="J622" s="22">
        <v>278.0</v>
      </c>
      <c r="K622" s="50"/>
      <c r="L622" s="21" t="str">
        <f>IF(K622&gt;0,K622*I622,"")</f>
      </c>
      <c r="M622" s="52"/>
      <c r="N622" t="str">
        <f>IF(K622&gt;0,COUNTIF($K$7:K622,"&gt;0"),"")</f>
      </c>
      <c r="O622" t="s">
        <v>1821</v>
      </c>
      <c r="P622" t="s">
        <v>1820</v>
      </c>
    </row>
    <row r="623" spans="1:16" customHeight="1" ht="58">
      <c r="A623" s="16"/>
      <c r="B623" s="18" t="s">
        <v>1797</v>
      </c>
      <c r="C623" s="17" t="s">
        <v>1798</v>
      </c>
      <c r="D623" s="17" t="s">
        <v>1823</v>
      </c>
      <c r="E623" s="17" t="s">
        <v>31</v>
      </c>
      <c r="F623" s="19"/>
      <c r="G623" s="20">
        <v>1.0</v>
      </c>
      <c r="H623" s="21">
        <v>379.5</v>
      </c>
      <c r="I623" s="21">
        <v>236.0</v>
      </c>
      <c r="J623" s="22">
        <v>44.0</v>
      </c>
      <c r="K623" s="50"/>
      <c r="L623" s="21" t="str">
        <f>IF(K623&gt;0,K623*I623,"")</f>
      </c>
      <c r="M623" s="52"/>
      <c r="N623" t="str">
        <f>IF(K623&gt;0,COUNTIF($K$7:K623,"&gt;0"),"")</f>
      </c>
      <c r="O623" t="s">
        <v>1808</v>
      </c>
      <c r="P623" t="s">
        <v>1822</v>
      </c>
    </row>
    <row r="624" spans="1:16" customHeight="1" ht="58">
      <c r="A624" s="16"/>
      <c r="B624" s="18" t="s">
        <v>1797</v>
      </c>
      <c r="C624" s="17" t="s">
        <v>1798</v>
      </c>
      <c r="D624" s="17" t="s">
        <v>1297</v>
      </c>
      <c r="E624" s="17" t="s">
        <v>31</v>
      </c>
      <c r="F624" s="19"/>
      <c r="G624" s="20">
        <v>1.0</v>
      </c>
      <c r="H624" s="21">
        <v>379.5</v>
      </c>
      <c r="I624" s="21">
        <v>236.0</v>
      </c>
      <c r="J624" s="22">
        <v>60.0</v>
      </c>
      <c r="K624" s="50"/>
      <c r="L624" s="21" t="str">
        <f>IF(K624&gt;0,K624*I624,"")</f>
      </c>
      <c r="M624" s="52"/>
      <c r="N624" t="str">
        <f>IF(K624&gt;0,COUNTIF($K$7:K624,"&gt;0"),"")</f>
      </c>
      <c r="O624" t="s">
        <v>1808</v>
      </c>
      <c r="P624" t="s">
        <v>1824</v>
      </c>
    </row>
    <row r="625" spans="1:16" customHeight="1" ht="58">
      <c r="A625" s="16"/>
      <c r="B625" s="18" t="s">
        <v>1797</v>
      </c>
      <c r="C625" s="17" t="s">
        <v>1798</v>
      </c>
      <c r="D625" s="17" t="s">
        <v>1050</v>
      </c>
      <c r="E625" s="17" t="s">
        <v>31</v>
      </c>
      <c r="F625" s="19"/>
      <c r="G625" s="20">
        <v>1.0</v>
      </c>
      <c r="H625" s="21">
        <v>379.5</v>
      </c>
      <c r="I625" s="21">
        <v>236.0</v>
      </c>
      <c r="J625" s="22">
        <v>241.0</v>
      </c>
      <c r="K625" s="50"/>
      <c r="L625" s="21" t="str">
        <f>IF(K625&gt;0,K625*I625,"")</f>
      </c>
      <c r="M625" s="52"/>
      <c r="N625" t="str">
        <f>IF(K625&gt;0,COUNTIF($K$7:K625,"&gt;0"),"")</f>
      </c>
      <c r="O625" t="s">
        <v>1826</v>
      </c>
      <c r="P625" t="s">
        <v>1825</v>
      </c>
    </row>
    <row r="626" spans="1:16" customHeight="1" ht="58">
      <c r="A626" s="16"/>
      <c r="B626" s="18" t="s">
        <v>1797</v>
      </c>
      <c r="C626" s="17" t="s">
        <v>1798</v>
      </c>
      <c r="D626" s="17" t="s">
        <v>1828</v>
      </c>
      <c r="E626" s="17" t="s">
        <v>31</v>
      </c>
      <c r="F626" s="19"/>
      <c r="G626" s="20">
        <v>1.0</v>
      </c>
      <c r="H626" s="21">
        <v>379.5</v>
      </c>
      <c r="I626" s="21">
        <v>236.0</v>
      </c>
      <c r="J626" s="22">
        <v>47.0</v>
      </c>
      <c r="K626" s="50"/>
      <c r="L626" s="21" t="str">
        <f>IF(K626&gt;0,K626*I626,"")</f>
      </c>
      <c r="M626" s="52"/>
      <c r="N626" t="str">
        <f>IF(K626&gt;0,COUNTIF($K$7:K626,"&gt;0"),"")</f>
      </c>
      <c r="O626" t="s">
        <v>1829</v>
      </c>
      <c r="P626" t="s">
        <v>1827</v>
      </c>
    </row>
    <row r="627" spans="1:16" customHeight="1" ht="58">
      <c r="A627" s="16"/>
      <c r="B627" s="18" t="s">
        <v>1831</v>
      </c>
      <c r="C627" s="17" t="s">
        <v>1798</v>
      </c>
      <c r="D627" s="17" t="s">
        <v>1832</v>
      </c>
      <c r="E627" s="17" t="s">
        <v>1833</v>
      </c>
      <c r="F627" s="19"/>
      <c r="G627" s="20">
        <v>1.0</v>
      </c>
      <c r="H627" s="21">
        <v>968.0</v>
      </c>
      <c r="I627" s="21">
        <v>603.0</v>
      </c>
      <c r="J627" s="22">
        <v>31.0</v>
      </c>
      <c r="K627" s="50"/>
      <c r="L627" s="21" t="str">
        <f>IF(K627&gt;0,K627*I627,"")</f>
      </c>
      <c r="M627" s="52"/>
      <c r="N627" t="str">
        <f>IF(K627&gt;0,COUNTIF($K$7:K627,"&gt;0"),"")</f>
      </c>
      <c r="P627" t="s">
        <v>1830</v>
      </c>
    </row>
    <row r="628" spans="1:16" customHeight="1" ht="58">
      <c r="A628" s="16"/>
      <c r="B628" s="18" t="s">
        <v>1831</v>
      </c>
      <c r="C628" s="17" t="s">
        <v>1798</v>
      </c>
      <c r="D628" s="17" t="s">
        <v>1088</v>
      </c>
      <c r="E628" s="17" t="s">
        <v>1833</v>
      </c>
      <c r="F628" s="19"/>
      <c r="G628" s="20">
        <v>1.0</v>
      </c>
      <c r="H628" s="21">
        <v>968.0</v>
      </c>
      <c r="I628" s="21">
        <v>603.0</v>
      </c>
      <c r="J628" s="22">
        <v>35.0</v>
      </c>
      <c r="K628" s="50"/>
      <c r="L628" s="21" t="str">
        <f>IF(K628&gt;0,K628*I628,"")</f>
      </c>
      <c r="M628" s="52"/>
      <c r="N628" t="str">
        <f>IF(K628&gt;0,COUNTIF($K$7:K628,"&gt;0"),"")</f>
      </c>
      <c r="P628" t="s">
        <v>1834</v>
      </c>
    </row>
    <row r="629" spans="1:16" customHeight="1" ht="58">
      <c r="A629" s="16"/>
      <c r="B629" s="18" t="s">
        <v>1831</v>
      </c>
      <c r="C629" s="17" t="s">
        <v>1798</v>
      </c>
      <c r="D629" s="17" t="s">
        <v>1001</v>
      </c>
      <c r="E629" s="17" t="s">
        <v>1833</v>
      </c>
      <c r="F629" s="19"/>
      <c r="G629" s="20">
        <v>1.0</v>
      </c>
      <c r="H629" s="21">
        <v>726.0</v>
      </c>
      <c r="I629" s="21">
        <v>467.0</v>
      </c>
      <c r="J629" s="22">
        <v>27.0</v>
      </c>
      <c r="K629" s="50"/>
      <c r="L629" s="21" t="str">
        <f>IF(K629&gt;0,K629*I629,"")</f>
      </c>
      <c r="M629" s="52"/>
      <c r="N629" t="str">
        <f>IF(K629&gt;0,COUNTIF($K$7:K629,"&gt;0"),"")</f>
      </c>
      <c r="P629" t="s">
        <v>1835</v>
      </c>
    </row>
    <row r="630" spans="1:16" customHeight="1" ht="58">
      <c r="A630" s="16"/>
      <c r="B630" s="18" t="s">
        <v>1831</v>
      </c>
      <c r="C630" s="17" t="s">
        <v>1798</v>
      </c>
      <c r="D630" s="17" t="s">
        <v>1050</v>
      </c>
      <c r="E630" s="17" t="s">
        <v>1833</v>
      </c>
      <c r="F630" s="19"/>
      <c r="G630" s="20">
        <v>1.0</v>
      </c>
      <c r="H630" s="21">
        <v>968.0</v>
      </c>
      <c r="I630" s="21">
        <v>603.0</v>
      </c>
      <c r="J630" s="22">
        <v>6.0</v>
      </c>
      <c r="K630" s="50"/>
      <c r="L630" s="21" t="str">
        <f>IF(K630&gt;0,K630*I630,"")</f>
      </c>
      <c r="M630" s="52"/>
      <c r="N630" t="str">
        <f>IF(K630&gt;0,COUNTIF($K$7:K630,"&gt;0"),"")</f>
      </c>
      <c r="P630" t="s">
        <v>1836</v>
      </c>
    </row>
    <row r="631" spans="1:16" customHeight="1" ht="58">
      <c r="A631" s="16"/>
      <c r="B631" s="18" t="s">
        <v>1831</v>
      </c>
      <c r="C631" s="17" t="s">
        <v>1798</v>
      </c>
      <c r="D631" s="17" t="s">
        <v>1838</v>
      </c>
      <c r="E631" s="17" t="s">
        <v>1833</v>
      </c>
      <c r="F631" s="19"/>
      <c r="G631" s="20">
        <v>1.0</v>
      </c>
      <c r="H631" s="21">
        <v>968.0</v>
      </c>
      <c r="I631" s="21">
        <v>603.0</v>
      </c>
      <c r="J631" s="22">
        <v>8.0</v>
      </c>
      <c r="K631" s="50"/>
      <c r="L631" s="21" t="str">
        <f>IF(K631&gt;0,K631*I631,"")</f>
      </c>
      <c r="M631" s="52"/>
      <c r="N631" t="str">
        <f>IF(K631&gt;0,COUNTIF($K$7:K631,"&gt;0"),"")</f>
      </c>
      <c r="P631" t="s">
        <v>1837</v>
      </c>
    </row>
    <row r="632" spans="1:16" customHeight="1" ht="58">
      <c r="A632" s="16"/>
      <c r="B632" s="18" t="s">
        <v>1831</v>
      </c>
      <c r="C632" s="17" t="s">
        <v>1798</v>
      </c>
      <c r="D632" s="17" t="s">
        <v>1039</v>
      </c>
      <c r="E632" s="17" t="s">
        <v>1833</v>
      </c>
      <c r="F632" s="19"/>
      <c r="G632" s="20">
        <v>1.0</v>
      </c>
      <c r="H632" s="21">
        <v>726.0</v>
      </c>
      <c r="I632" s="21">
        <v>467.0</v>
      </c>
      <c r="J632" s="22">
        <v>71.0</v>
      </c>
      <c r="K632" s="50"/>
      <c r="L632" s="21" t="str">
        <f>IF(K632&gt;0,K632*I632,"")</f>
      </c>
      <c r="M632" s="52"/>
      <c r="N632" t="str">
        <f>IF(K632&gt;0,COUNTIF($K$7:K632,"&gt;0"),"")</f>
      </c>
      <c r="P632" t="s">
        <v>1839</v>
      </c>
    </row>
    <row r="633" spans="1:16" customHeight="1" ht="58">
      <c r="A633" s="16"/>
      <c r="B633" s="18" t="s">
        <v>1831</v>
      </c>
      <c r="C633" s="17" t="s">
        <v>1798</v>
      </c>
      <c r="D633" s="17" t="s">
        <v>144</v>
      </c>
      <c r="E633" s="17" t="s">
        <v>1833</v>
      </c>
      <c r="F633" s="19"/>
      <c r="G633" s="20">
        <v>1.0</v>
      </c>
      <c r="H633" s="21">
        <v>968.0</v>
      </c>
      <c r="I633" s="21">
        <v>603.0</v>
      </c>
      <c r="J633" s="22">
        <v>5.0</v>
      </c>
      <c r="K633" s="50"/>
      <c r="L633" s="21" t="str">
        <f>IF(K633&gt;0,K633*I633,"")</f>
      </c>
      <c r="M633" s="52"/>
      <c r="N633" t="str">
        <f>IF(K633&gt;0,COUNTIF($K$7:K633,"&gt;0"),"")</f>
      </c>
      <c r="P633" t="s">
        <v>1840</v>
      </c>
    </row>
    <row r="634" spans="1:16" customHeight="1" ht="58">
      <c r="A634" s="16"/>
      <c r="B634" s="18" t="s">
        <v>1831</v>
      </c>
      <c r="C634" s="17" t="s">
        <v>1798</v>
      </c>
      <c r="D634" s="17" t="s">
        <v>1842</v>
      </c>
      <c r="E634" s="17" t="s">
        <v>1833</v>
      </c>
      <c r="F634" s="19"/>
      <c r="G634" s="20">
        <v>1.0</v>
      </c>
      <c r="H634" s="21">
        <v>968.0</v>
      </c>
      <c r="I634" s="21">
        <v>603.0</v>
      </c>
      <c r="J634" s="22">
        <v>8.0</v>
      </c>
      <c r="K634" s="50"/>
      <c r="L634" s="21" t="str">
        <f>IF(K634&gt;0,K634*I634,"")</f>
      </c>
      <c r="M634" s="52"/>
      <c r="N634" t="str">
        <f>IF(K634&gt;0,COUNTIF($K$7:K634,"&gt;0"),"")</f>
      </c>
      <c r="P634" t="s">
        <v>1841</v>
      </c>
    </row>
    <row r="635" spans="1:16" customHeight="1" ht="58">
      <c r="A635" s="16"/>
      <c r="B635" s="18" t="s">
        <v>1844</v>
      </c>
      <c r="C635" s="17" t="s">
        <v>1845</v>
      </c>
      <c r="D635" s="17" t="s">
        <v>1096</v>
      </c>
      <c r="E635" s="17" t="s">
        <v>1846</v>
      </c>
      <c r="F635" s="19"/>
      <c r="G635" s="20">
        <v>1.0</v>
      </c>
      <c r="H635" s="21">
        <v>143.0</v>
      </c>
      <c r="I635" s="21">
        <v>134.0</v>
      </c>
      <c r="J635" s="22">
        <v>29.0</v>
      </c>
      <c r="K635" s="50"/>
      <c r="L635" s="21" t="str">
        <f>IF(K635&gt;0,K635*I635,"")</f>
      </c>
      <c r="M635" s="52"/>
      <c r="N635" t="str">
        <f>IF(K635&gt;0,COUNTIF($K$7:K635,"&gt;0"),"")</f>
      </c>
      <c r="O635" t="s">
        <v>1847</v>
      </c>
      <c r="P635" t="s">
        <v>1843</v>
      </c>
    </row>
    <row r="636" spans="1:16" customHeight="1" ht="58">
      <c r="A636" s="16"/>
      <c r="B636" s="18" t="s">
        <v>1849</v>
      </c>
      <c r="C636" s="17" t="s">
        <v>1850</v>
      </c>
      <c r="D636" s="17" t="s">
        <v>1851</v>
      </c>
      <c r="E636" s="17" t="s">
        <v>31</v>
      </c>
      <c r="F636" s="19"/>
      <c r="G636" s="20">
        <v>1.0</v>
      </c>
      <c r="H636" s="21">
        <v>319.0</v>
      </c>
      <c r="I636" s="21">
        <v>208.0</v>
      </c>
      <c r="J636" s="22">
        <v>103.0</v>
      </c>
      <c r="K636" s="50"/>
      <c r="L636" s="21" t="str">
        <f>IF(K636&gt;0,K636*I636,"")</f>
      </c>
      <c r="M636" s="52"/>
      <c r="N636" t="str">
        <f>IF(K636&gt;0,COUNTIF($K$7:K636,"&gt;0"),"")</f>
      </c>
      <c r="O636" t="s">
        <v>1852</v>
      </c>
      <c r="P636" t="s">
        <v>1848</v>
      </c>
    </row>
    <row r="637" spans="1:16" customHeight="1" ht="58">
      <c r="A637" s="16"/>
      <c r="B637" s="18" t="s">
        <v>1849</v>
      </c>
      <c r="C637" s="17" t="s">
        <v>1850</v>
      </c>
      <c r="D637" s="17" t="s">
        <v>1854</v>
      </c>
      <c r="E637" s="17" t="s">
        <v>31</v>
      </c>
      <c r="F637" s="19"/>
      <c r="G637" s="20">
        <v>1.0</v>
      </c>
      <c r="H637" s="21">
        <v>319.0</v>
      </c>
      <c r="I637" s="21">
        <v>208.0</v>
      </c>
      <c r="J637" s="22">
        <v>15.0</v>
      </c>
      <c r="K637" s="50"/>
      <c r="L637" s="21" t="str">
        <f>IF(K637&gt;0,K637*I637,"")</f>
      </c>
      <c r="M637" s="52"/>
      <c r="N637" t="str">
        <f>IF(K637&gt;0,COUNTIF($K$7:K637,"&gt;0"),"")</f>
      </c>
      <c r="O637" t="s">
        <v>1855</v>
      </c>
      <c r="P637" t="s">
        <v>1853</v>
      </c>
    </row>
    <row r="638" spans="1:16" customHeight="1" ht="58">
      <c r="A638" s="16"/>
      <c r="B638" s="18" t="s">
        <v>1849</v>
      </c>
      <c r="C638" s="17" t="s">
        <v>1850</v>
      </c>
      <c r="D638" s="17" t="s">
        <v>1857</v>
      </c>
      <c r="E638" s="17" t="s">
        <v>31</v>
      </c>
      <c r="F638" s="19"/>
      <c r="G638" s="20">
        <v>1.0</v>
      </c>
      <c r="H638" s="21">
        <v>319.0</v>
      </c>
      <c r="I638" s="21">
        <v>208.0</v>
      </c>
      <c r="J638" s="22">
        <v>222.0</v>
      </c>
      <c r="K638" s="50"/>
      <c r="L638" s="21" t="str">
        <f>IF(K638&gt;0,K638*I638,"")</f>
      </c>
      <c r="M638" s="52"/>
      <c r="N638" t="str">
        <f>IF(K638&gt;0,COUNTIF($K$7:K638,"&gt;0"),"")</f>
      </c>
      <c r="O638" t="s">
        <v>1858</v>
      </c>
      <c r="P638" t="s">
        <v>1856</v>
      </c>
    </row>
    <row r="639" spans="1:16" customHeight="1" ht="58">
      <c r="A639" s="16"/>
      <c r="B639" s="18" t="s">
        <v>1860</v>
      </c>
      <c r="C639" s="17" t="s">
        <v>1861</v>
      </c>
      <c r="D639" s="17" t="s">
        <v>1862</v>
      </c>
      <c r="E639" s="17" t="s">
        <v>1863</v>
      </c>
      <c r="F639" s="19" t="s">
        <v>915</v>
      </c>
      <c r="G639" s="20">
        <v>10.0</v>
      </c>
      <c r="H639" s="21">
        <v>506.0</v>
      </c>
      <c r="I639" s="21">
        <v>323.0</v>
      </c>
      <c r="J639" s="22">
        <v>1311.0</v>
      </c>
      <c r="K639" s="50"/>
      <c r="L639" s="21" t="str">
        <f>IF(K639&gt;0,K639*I639,"")</f>
      </c>
      <c r="M639" s="52"/>
      <c r="N639" t="str">
        <f>IF(K639&gt;0,COUNTIF($K$7:K639,"&gt;0"),"")</f>
      </c>
      <c r="O639" t="s">
        <v>1864</v>
      </c>
      <c r="P639" t="s">
        <v>1859</v>
      </c>
    </row>
    <row r="640" spans="1:16" customHeight="1" ht="58">
      <c r="A640" s="16"/>
      <c r="B640" s="18" t="s">
        <v>1860</v>
      </c>
      <c r="C640" s="17" t="s">
        <v>1861</v>
      </c>
      <c r="D640" s="17" t="s">
        <v>1866</v>
      </c>
      <c r="E640" s="17" t="s">
        <v>1863</v>
      </c>
      <c r="F640" s="19" t="s">
        <v>915</v>
      </c>
      <c r="G640" s="20">
        <v>10.0</v>
      </c>
      <c r="H640" s="21">
        <v>484.0</v>
      </c>
      <c r="I640" s="21">
        <v>305.0</v>
      </c>
      <c r="J640" s="22">
        <v>2417.0</v>
      </c>
      <c r="K640" s="50"/>
      <c r="L640" s="21" t="str">
        <f>IF(K640&gt;0,K640*I640,"")</f>
      </c>
      <c r="M640" s="52"/>
      <c r="N640" t="str">
        <f>IF(K640&gt;0,COUNTIF($K$7:K640,"&gt;0"),"")</f>
      </c>
      <c r="O640" t="s">
        <v>1867</v>
      </c>
      <c r="P640" t="s">
        <v>1865</v>
      </c>
    </row>
    <row r="641" spans="1:16" customHeight="1" ht="58">
      <c r="A641" s="16"/>
      <c r="B641" s="18" t="s">
        <v>1860</v>
      </c>
      <c r="C641" s="17" t="s">
        <v>1861</v>
      </c>
      <c r="D641" s="17" t="s">
        <v>1869</v>
      </c>
      <c r="E641" s="17" t="s">
        <v>1863</v>
      </c>
      <c r="F641" s="19" t="s">
        <v>915</v>
      </c>
      <c r="G641" s="20">
        <v>10.0</v>
      </c>
      <c r="H641" s="21">
        <v>506.0</v>
      </c>
      <c r="I641" s="21">
        <v>323.0</v>
      </c>
      <c r="J641" s="22">
        <v>13589.0</v>
      </c>
      <c r="K641" s="50"/>
      <c r="L641" s="21" t="str">
        <f>IF(K641&gt;0,K641*I641,"")</f>
      </c>
      <c r="M641" s="52"/>
      <c r="N641" t="str">
        <f>IF(K641&gt;0,COUNTIF($K$7:K641,"&gt;0"),"")</f>
      </c>
      <c r="O641" t="s">
        <v>1870</v>
      </c>
      <c r="P641" t="s">
        <v>1868</v>
      </c>
    </row>
    <row r="642" spans="1:16" customHeight="1" ht="58">
      <c r="A642" s="16"/>
      <c r="B642" s="18" t="s">
        <v>1872</v>
      </c>
      <c r="C642" s="17" t="s">
        <v>1861</v>
      </c>
      <c r="D642" s="17" t="s">
        <v>1869</v>
      </c>
      <c r="E642" s="17" t="s">
        <v>1873</v>
      </c>
      <c r="F642" s="19" t="s">
        <v>915</v>
      </c>
      <c r="G642" s="20">
        <v>10.0</v>
      </c>
      <c r="H642" s="21">
        <v>121.0</v>
      </c>
      <c r="I642" s="21">
        <v>74.0</v>
      </c>
      <c r="J642" s="22">
        <v>11884.0</v>
      </c>
      <c r="K642" s="50"/>
      <c r="L642" s="21" t="str">
        <f>IF(K642&gt;0,K642*I642,"")</f>
      </c>
      <c r="M642" s="52"/>
      <c r="N642" t="str">
        <f>IF(K642&gt;0,COUNTIF($K$7:K642,"&gt;0"),"")</f>
      </c>
      <c r="O642" t="s">
        <v>1874</v>
      </c>
      <c r="P642" t="s">
        <v>1871</v>
      </c>
    </row>
    <row r="643" spans="1:16" customHeight="1" ht="58">
      <c r="A643" s="16"/>
      <c r="B643" s="18" t="s">
        <v>1872</v>
      </c>
      <c r="C643" s="17" t="s">
        <v>1861</v>
      </c>
      <c r="D643" s="17" t="s">
        <v>1862</v>
      </c>
      <c r="E643" s="17" t="s">
        <v>1873</v>
      </c>
      <c r="F643" s="19" t="s">
        <v>915</v>
      </c>
      <c r="G643" s="20">
        <v>10.0</v>
      </c>
      <c r="H643" s="21">
        <v>121.0</v>
      </c>
      <c r="I643" s="21">
        <v>74.0</v>
      </c>
      <c r="J643" s="22">
        <v>977.0</v>
      </c>
      <c r="K643" s="50"/>
      <c r="L643" s="21" t="str">
        <f>IF(K643&gt;0,K643*I643,"")</f>
      </c>
      <c r="M643" s="52"/>
      <c r="N643" t="str">
        <f>IF(K643&gt;0,COUNTIF($K$7:K643,"&gt;0"),"")</f>
      </c>
      <c r="O643" t="s">
        <v>1874</v>
      </c>
      <c r="P643" t="s">
        <v>1875</v>
      </c>
    </row>
    <row r="644" spans="1:16" customHeight="1" ht="58">
      <c r="A644" s="16"/>
      <c r="B644" s="18" t="s">
        <v>1877</v>
      </c>
      <c r="C644" s="17" t="s">
        <v>1861</v>
      </c>
      <c r="D644" s="17" t="s">
        <v>1869</v>
      </c>
      <c r="E644" s="17" t="s">
        <v>1878</v>
      </c>
      <c r="F644" s="19" t="s">
        <v>915</v>
      </c>
      <c r="G644" s="20">
        <v>10.0</v>
      </c>
      <c r="H644" s="21">
        <v>220.0</v>
      </c>
      <c r="I644" s="21">
        <v>136.0</v>
      </c>
      <c r="J644" s="22">
        <v>346.0</v>
      </c>
      <c r="K644" s="50"/>
      <c r="L644" s="21" t="str">
        <f>IF(K644&gt;0,K644*I644,"")</f>
      </c>
      <c r="M644" s="52"/>
      <c r="N644" t="str">
        <f>IF(K644&gt;0,COUNTIF($K$7:K644,"&gt;0"),"")</f>
      </c>
      <c r="O644" t="s">
        <v>1879</v>
      </c>
      <c r="P644" t="s">
        <v>1876</v>
      </c>
    </row>
    <row r="645" spans="1:16" customHeight="1" ht="58">
      <c r="A645" s="16"/>
      <c r="B645" s="18" t="s">
        <v>1877</v>
      </c>
      <c r="C645" s="17" t="s">
        <v>1861</v>
      </c>
      <c r="D645" s="17" t="s">
        <v>1866</v>
      </c>
      <c r="E645" s="17" t="s">
        <v>1878</v>
      </c>
      <c r="F645" s="19" t="s">
        <v>915</v>
      </c>
      <c r="G645" s="20">
        <v>10.0</v>
      </c>
      <c r="H645" s="21">
        <v>209.0</v>
      </c>
      <c r="I645" s="21">
        <v>130.0</v>
      </c>
      <c r="J645" s="22">
        <v>9486.0</v>
      </c>
      <c r="K645" s="50"/>
      <c r="L645" s="21" t="str">
        <f>IF(K645&gt;0,K645*I645,"")</f>
      </c>
      <c r="M645" s="52"/>
      <c r="N645" t="str">
        <f>IF(K645&gt;0,COUNTIF($K$7:K645,"&gt;0"),"")</f>
      </c>
      <c r="O645" t="s">
        <v>1881</v>
      </c>
      <c r="P645" t="s">
        <v>1880</v>
      </c>
    </row>
    <row r="646" spans="1:16" customHeight="1" ht="58">
      <c r="A646" s="16"/>
      <c r="B646" s="18" t="s">
        <v>1877</v>
      </c>
      <c r="C646" s="17" t="s">
        <v>1861</v>
      </c>
      <c r="D646" s="17" t="s">
        <v>1883</v>
      </c>
      <c r="E646" s="17" t="s">
        <v>1878</v>
      </c>
      <c r="F646" s="19" t="s">
        <v>915</v>
      </c>
      <c r="G646" s="20">
        <v>10.0</v>
      </c>
      <c r="H646" s="21">
        <v>209.0</v>
      </c>
      <c r="I646" s="21">
        <v>130.0</v>
      </c>
      <c r="J646" s="22">
        <v>6800.0</v>
      </c>
      <c r="K646" s="50"/>
      <c r="L646" s="21" t="str">
        <f>IF(K646&gt;0,K646*I646,"")</f>
      </c>
      <c r="M646" s="52"/>
      <c r="N646" t="str">
        <f>IF(K646&gt;0,COUNTIF($K$7:K646,"&gt;0"),"")</f>
      </c>
      <c r="O646" t="s">
        <v>1884</v>
      </c>
      <c r="P646" t="s">
        <v>1882</v>
      </c>
    </row>
    <row r="647" spans="1:16" customHeight="1" ht="58">
      <c r="A647" s="16"/>
      <c r="B647" s="18" t="s">
        <v>1886</v>
      </c>
      <c r="C647" s="17" t="s">
        <v>1861</v>
      </c>
      <c r="D647" s="17" t="s">
        <v>1869</v>
      </c>
      <c r="E647" s="17" t="s">
        <v>1887</v>
      </c>
      <c r="F647" s="19" t="s">
        <v>915</v>
      </c>
      <c r="G647" s="20">
        <v>10.0</v>
      </c>
      <c r="H647" s="21">
        <v>407.0</v>
      </c>
      <c r="I647" s="21">
        <v>259.0</v>
      </c>
      <c r="J647" s="22">
        <v>2688.0</v>
      </c>
      <c r="K647" s="50"/>
      <c r="L647" s="21" t="str">
        <f>IF(K647&gt;0,K647*I647,"")</f>
      </c>
      <c r="M647" s="52"/>
      <c r="N647" t="str">
        <f>IF(K647&gt;0,COUNTIF($K$7:K647,"&gt;0"),"")</f>
      </c>
      <c r="O647" t="s">
        <v>1888</v>
      </c>
      <c r="P647" t="s">
        <v>1885</v>
      </c>
    </row>
    <row r="648" spans="1:16" customHeight="1" ht="58">
      <c r="A648" s="16"/>
      <c r="B648" s="18" t="s">
        <v>1886</v>
      </c>
      <c r="C648" s="17" t="s">
        <v>1861</v>
      </c>
      <c r="D648" s="17" t="s">
        <v>1866</v>
      </c>
      <c r="E648" s="17" t="s">
        <v>1887</v>
      </c>
      <c r="F648" s="19" t="s">
        <v>915</v>
      </c>
      <c r="G648" s="20">
        <v>10.0</v>
      </c>
      <c r="H648" s="21">
        <v>385.0</v>
      </c>
      <c r="I648" s="21">
        <v>246.0</v>
      </c>
      <c r="J648" s="22">
        <v>1058.0</v>
      </c>
      <c r="K648" s="50"/>
      <c r="L648" s="21" t="str">
        <f>IF(K648&gt;0,K648*I648,"")</f>
      </c>
      <c r="M648" s="52"/>
      <c r="N648" t="str">
        <f>IF(K648&gt;0,COUNTIF($K$7:K648,"&gt;0"),"")</f>
      </c>
      <c r="O648" t="s">
        <v>1890</v>
      </c>
      <c r="P648" t="s">
        <v>1889</v>
      </c>
    </row>
    <row r="649" spans="1:16" customHeight="1" ht="58">
      <c r="A649" s="16"/>
      <c r="B649" s="18" t="s">
        <v>1892</v>
      </c>
      <c r="C649" s="17" t="s">
        <v>1893</v>
      </c>
      <c r="D649" s="17" t="s">
        <v>1894</v>
      </c>
      <c r="E649" s="17" t="s">
        <v>31</v>
      </c>
      <c r="F649" s="19"/>
      <c r="G649" s="20">
        <v>1.0</v>
      </c>
      <c r="H649" s="21">
        <v>209.0</v>
      </c>
      <c r="I649" s="21">
        <v>203.0</v>
      </c>
      <c r="J649" s="22">
        <v>2.0</v>
      </c>
      <c r="K649" s="50"/>
      <c r="L649" s="21" t="str">
        <f>IF(K649&gt;0,K649*I649,"")</f>
      </c>
      <c r="M649" s="52"/>
      <c r="N649" t="str">
        <f>IF(K649&gt;0,COUNTIF($K$7:K649,"&gt;0"),"")</f>
      </c>
      <c r="O649" t="s">
        <v>1895</v>
      </c>
      <c r="P649" t="s">
        <v>1891</v>
      </c>
    </row>
    <row r="650" spans="1:16" customHeight="1" ht="58">
      <c r="A650" s="16"/>
      <c r="B650" s="18" t="s">
        <v>1897</v>
      </c>
      <c r="C650" s="17" t="s">
        <v>1898</v>
      </c>
      <c r="D650" s="17" t="s">
        <v>1899</v>
      </c>
      <c r="E650" s="17" t="s">
        <v>1900</v>
      </c>
      <c r="F650" s="19"/>
      <c r="G650" s="20">
        <v>1.0</v>
      </c>
      <c r="H650" s="21">
        <v>176.0</v>
      </c>
      <c r="I650" s="21">
        <v>171.0</v>
      </c>
      <c r="J650" s="22">
        <v>1.0</v>
      </c>
      <c r="K650" s="50"/>
      <c r="L650" s="21" t="str">
        <f>IF(K650&gt;0,K650*I650,"")</f>
      </c>
      <c r="M650" s="52"/>
      <c r="N650" t="str">
        <f>IF(K650&gt;0,COUNTIF($K$7:K650,"&gt;0"),"")</f>
      </c>
      <c r="O650" t="s">
        <v>1901</v>
      </c>
      <c r="P650" t="s">
        <v>1896</v>
      </c>
    </row>
    <row r="651" spans="1:16" customHeight="1" ht="24">
      <c r="A651" s="23" t="s">
        <v>1902</v>
      </c>
      <c r="B651" s="24"/>
      <c r="C651" s="25"/>
      <c r="D651" s="25"/>
      <c r="E651" s="25"/>
      <c r="F651" s="26"/>
      <c r="G651" s="27"/>
      <c r="H651" s="28"/>
      <c r="I651" s="28"/>
      <c r="J651" s="29"/>
      <c r="K651" s="49"/>
      <c r="L651" s="28"/>
      <c r="M651" s="51"/>
      <c r="N651" t="str">
        <f>IF(K651&gt;0,COUNTIF($K$7:K651,"&gt;0"),"")</f>
      </c>
    </row>
    <row r="652" spans="1:16" customHeight="1" ht="58">
      <c r="A652" s="16"/>
      <c r="B652" s="18" t="s">
        <v>1904</v>
      </c>
      <c r="C652" s="17" t="s">
        <v>1905</v>
      </c>
      <c r="D652" s="17" t="s">
        <v>1906</v>
      </c>
      <c r="E652" s="17" t="s">
        <v>1907</v>
      </c>
      <c r="F652" s="19"/>
      <c r="G652" s="20">
        <v>1.0</v>
      </c>
      <c r="H652" s="21">
        <v>451.0</v>
      </c>
      <c r="I652" s="21">
        <v>285.0</v>
      </c>
      <c r="J652" s="22">
        <v>51.0</v>
      </c>
      <c r="K652" s="50"/>
      <c r="L652" s="21" t="str">
        <f>IF(K652&gt;0,K652*I652,"")</f>
      </c>
      <c r="M652" s="52"/>
      <c r="N652" t="str">
        <f>IF(K652&gt;0,COUNTIF($K$7:K652,"&gt;0"),"")</f>
      </c>
      <c r="O652" t="s">
        <v>1908</v>
      </c>
      <c r="P652" t="s">
        <v>1903</v>
      </c>
    </row>
    <row r="653" spans="1:16" customHeight="1" ht="58">
      <c r="A653" s="16"/>
      <c r="B653" s="18" t="s">
        <v>1910</v>
      </c>
      <c r="C653" s="17" t="s">
        <v>1911</v>
      </c>
      <c r="D653" s="17" t="s">
        <v>1912</v>
      </c>
      <c r="E653" s="17" t="s">
        <v>1913</v>
      </c>
      <c r="F653" s="19"/>
      <c r="G653" s="20">
        <v>1.0</v>
      </c>
      <c r="H653" s="21">
        <v>121.0</v>
      </c>
      <c r="I653" s="21">
        <v>121.0</v>
      </c>
      <c r="J653" s="22">
        <v>944.0</v>
      </c>
      <c r="K653" s="50"/>
      <c r="L653" s="21" t="str">
        <f>IF(K653&gt;0,K653*I653,"")</f>
      </c>
      <c r="M653" s="52"/>
      <c r="N653" t="str">
        <f>IF(K653&gt;0,COUNTIF($K$7:K653,"&gt;0"),"")</f>
      </c>
      <c r="O653" t="s">
        <v>1914</v>
      </c>
      <c r="P653" t="s">
        <v>1909</v>
      </c>
    </row>
    <row r="654" spans="1:16" customHeight="1" ht="58">
      <c r="A654" s="16"/>
      <c r="B654" s="18" t="s">
        <v>1910</v>
      </c>
      <c r="C654" s="17" t="s">
        <v>1911</v>
      </c>
      <c r="D654" s="17" t="s">
        <v>1916</v>
      </c>
      <c r="E654" s="17" t="s">
        <v>1913</v>
      </c>
      <c r="F654" s="19"/>
      <c r="G654" s="20">
        <v>1.0</v>
      </c>
      <c r="H654" s="21">
        <v>121.0</v>
      </c>
      <c r="I654" s="21">
        <v>121.0</v>
      </c>
      <c r="J654" s="22">
        <v>753.0</v>
      </c>
      <c r="K654" s="50"/>
      <c r="L654" s="21" t="str">
        <f>IF(K654&gt;0,K654*I654,"")</f>
      </c>
      <c r="M654" s="52"/>
      <c r="N654" t="str">
        <f>IF(K654&gt;0,COUNTIF($K$7:K654,"&gt;0"),"")</f>
      </c>
      <c r="O654" t="s">
        <v>1917</v>
      </c>
      <c r="P654" t="s">
        <v>1915</v>
      </c>
    </row>
    <row r="655" spans="1:16" customHeight="1" ht="58">
      <c r="A655" s="16"/>
      <c r="B655" s="18" t="s">
        <v>1910</v>
      </c>
      <c r="C655" s="17" t="s">
        <v>1911</v>
      </c>
      <c r="D655" s="17" t="s">
        <v>1919</v>
      </c>
      <c r="E655" s="17" t="s">
        <v>1913</v>
      </c>
      <c r="F655" s="19"/>
      <c r="G655" s="20">
        <v>1.0</v>
      </c>
      <c r="H655" s="21">
        <v>121.0</v>
      </c>
      <c r="I655" s="21">
        <v>121.0</v>
      </c>
      <c r="J655" s="22">
        <v>954.0</v>
      </c>
      <c r="K655" s="50"/>
      <c r="L655" s="21" t="str">
        <f>IF(K655&gt;0,K655*I655,"")</f>
      </c>
      <c r="M655" s="52"/>
      <c r="N655" t="str">
        <f>IF(K655&gt;0,COUNTIF($K$7:K655,"&gt;0"),"")</f>
      </c>
      <c r="O655" t="s">
        <v>1920</v>
      </c>
      <c r="P655" t="s">
        <v>1918</v>
      </c>
    </row>
    <row r="656" spans="1:16" customHeight="1" ht="58">
      <c r="A656" s="16"/>
      <c r="B656" s="18" t="s">
        <v>1910</v>
      </c>
      <c r="C656" s="17" t="s">
        <v>1911</v>
      </c>
      <c r="D656" s="17" t="s">
        <v>1922</v>
      </c>
      <c r="E656" s="17" t="s">
        <v>1913</v>
      </c>
      <c r="F656" s="19"/>
      <c r="G656" s="20">
        <v>1.0</v>
      </c>
      <c r="H656" s="21">
        <v>121.0</v>
      </c>
      <c r="I656" s="21">
        <v>121.0</v>
      </c>
      <c r="J656" s="22">
        <v>828.0</v>
      </c>
      <c r="K656" s="50"/>
      <c r="L656" s="21" t="str">
        <f>IF(K656&gt;0,K656*I656,"")</f>
      </c>
      <c r="M656" s="52"/>
      <c r="N656" t="str">
        <f>IF(K656&gt;0,COUNTIF($K$7:K656,"&gt;0"),"")</f>
      </c>
      <c r="O656" t="s">
        <v>1923</v>
      </c>
      <c r="P656" t="s">
        <v>1921</v>
      </c>
    </row>
    <row r="657" spans="1:16" customHeight="1" ht="58">
      <c r="A657" s="16"/>
      <c r="B657" s="18" t="s">
        <v>1910</v>
      </c>
      <c r="C657" s="17" t="s">
        <v>1911</v>
      </c>
      <c r="D657" s="17" t="s">
        <v>1925</v>
      </c>
      <c r="E657" s="17" t="s">
        <v>1913</v>
      </c>
      <c r="F657" s="19"/>
      <c r="G657" s="20">
        <v>1.0</v>
      </c>
      <c r="H657" s="21">
        <v>121.0</v>
      </c>
      <c r="I657" s="21">
        <v>121.0</v>
      </c>
      <c r="J657" s="22">
        <v>714.0</v>
      </c>
      <c r="K657" s="50"/>
      <c r="L657" s="21" t="str">
        <f>IF(K657&gt;0,K657*I657,"")</f>
      </c>
      <c r="M657" s="52"/>
      <c r="N657" t="str">
        <f>IF(K657&gt;0,COUNTIF($K$7:K657,"&gt;0"),"")</f>
      </c>
      <c r="O657" t="s">
        <v>1926</v>
      </c>
      <c r="P657" t="s">
        <v>1924</v>
      </c>
    </row>
    <row r="658" spans="1:16" customHeight="1" ht="58">
      <c r="A658" s="16"/>
      <c r="B658" s="18" t="s">
        <v>1910</v>
      </c>
      <c r="C658" s="17" t="s">
        <v>1911</v>
      </c>
      <c r="D658" s="17" t="s">
        <v>1928</v>
      </c>
      <c r="E658" s="17" t="s">
        <v>1913</v>
      </c>
      <c r="F658" s="19"/>
      <c r="G658" s="20">
        <v>1.0</v>
      </c>
      <c r="H658" s="21">
        <v>121.0</v>
      </c>
      <c r="I658" s="21">
        <v>121.0</v>
      </c>
      <c r="J658" s="22">
        <v>1186.0</v>
      </c>
      <c r="K658" s="50"/>
      <c r="L658" s="21" t="str">
        <f>IF(K658&gt;0,K658*I658,"")</f>
      </c>
      <c r="M658" s="52"/>
      <c r="N658" t="str">
        <f>IF(K658&gt;0,COUNTIF($K$7:K658,"&gt;0"),"")</f>
      </c>
      <c r="O658" t="s">
        <v>1929</v>
      </c>
      <c r="P658" t="s">
        <v>1927</v>
      </c>
    </row>
    <row r="659" spans="1:16" customHeight="1" ht="58">
      <c r="A659" s="16"/>
      <c r="B659" s="18" t="s">
        <v>1931</v>
      </c>
      <c r="C659" s="17" t="s">
        <v>1932</v>
      </c>
      <c r="D659" s="17" t="s">
        <v>1933</v>
      </c>
      <c r="E659" s="17" t="s">
        <v>1934</v>
      </c>
      <c r="F659" s="19"/>
      <c r="G659" s="20">
        <v>1.0</v>
      </c>
      <c r="H659" s="21">
        <v>121.0</v>
      </c>
      <c r="I659" s="21">
        <v>121.0</v>
      </c>
      <c r="J659" s="22">
        <v>635.0</v>
      </c>
      <c r="K659" s="50"/>
      <c r="L659" s="21" t="str">
        <f>IF(K659&gt;0,K659*I659,"")</f>
      </c>
      <c r="M659" s="52"/>
      <c r="N659" t="str">
        <f>IF(K659&gt;0,COUNTIF($K$7:K659,"&gt;0"),"")</f>
      </c>
      <c r="O659" t="s">
        <v>1935</v>
      </c>
      <c r="P659" t="s">
        <v>1930</v>
      </c>
    </row>
    <row r="660" spans="1:16" customHeight="1" ht="58">
      <c r="A660" s="16"/>
      <c r="B660" s="18" t="s">
        <v>1931</v>
      </c>
      <c r="C660" s="17" t="s">
        <v>1932</v>
      </c>
      <c r="D660" s="17" t="s">
        <v>1937</v>
      </c>
      <c r="E660" s="17" t="s">
        <v>1934</v>
      </c>
      <c r="F660" s="19"/>
      <c r="G660" s="20">
        <v>1.0</v>
      </c>
      <c r="H660" s="21">
        <v>121.0</v>
      </c>
      <c r="I660" s="21">
        <v>121.0</v>
      </c>
      <c r="J660" s="22">
        <v>647.0</v>
      </c>
      <c r="K660" s="50"/>
      <c r="L660" s="21" t="str">
        <f>IF(K660&gt;0,K660*I660,"")</f>
      </c>
      <c r="M660" s="52"/>
      <c r="N660" t="str">
        <f>IF(K660&gt;0,COUNTIF($K$7:K660,"&gt;0"),"")</f>
      </c>
      <c r="O660" t="s">
        <v>1938</v>
      </c>
      <c r="P660" t="s">
        <v>1936</v>
      </c>
    </row>
    <row r="661" spans="1:16" customHeight="1" ht="58">
      <c r="A661" s="16"/>
      <c r="B661" s="18" t="s">
        <v>1931</v>
      </c>
      <c r="C661" s="17" t="s">
        <v>1932</v>
      </c>
      <c r="D661" s="17" t="s">
        <v>1940</v>
      </c>
      <c r="E661" s="17" t="s">
        <v>1934</v>
      </c>
      <c r="F661" s="19"/>
      <c r="G661" s="20">
        <v>1.0</v>
      </c>
      <c r="H661" s="21">
        <v>121.0</v>
      </c>
      <c r="I661" s="21">
        <v>121.0</v>
      </c>
      <c r="J661" s="22">
        <v>542.0</v>
      </c>
      <c r="K661" s="50"/>
      <c r="L661" s="21" t="str">
        <f>IF(K661&gt;0,K661*I661,"")</f>
      </c>
      <c r="M661" s="52"/>
      <c r="N661" t="str">
        <f>IF(K661&gt;0,COUNTIF($K$7:K661,"&gt;0"),"")</f>
      </c>
      <c r="O661" t="s">
        <v>1941</v>
      </c>
      <c r="P661" t="s">
        <v>1939</v>
      </c>
    </row>
    <row r="662" spans="1:16" customHeight="1" ht="58">
      <c r="A662" s="16"/>
      <c r="B662" s="18" t="s">
        <v>1931</v>
      </c>
      <c r="C662" s="17" t="s">
        <v>1932</v>
      </c>
      <c r="D662" s="17" t="s">
        <v>1943</v>
      </c>
      <c r="E662" s="17" t="s">
        <v>1934</v>
      </c>
      <c r="F662" s="19"/>
      <c r="G662" s="20">
        <v>1.0</v>
      </c>
      <c r="H662" s="21">
        <v>121.0</v>
      </c>
      <c r="I662" s="21">
        <v>121.0</v>
      </c>
      <c r="J662" s="22">
        <v>518.0</v>
      </c>
      <c r="K662" s="50"/>
      <c r="L662" s="21" t="str">
        <f>IF(K662&gt;0,K662*I662,"")</f>
      </c>
      <c r="M662" s="52"/>
      <c r="N662" t="str">
        <f>IF(K662&gt;0,COUNTIF($K$7:K662,"&gt;0"),"")</f>
      </c>
      <c r="O662" t="s">
        <v>1944</v>
      </c>
      <c r="P662" t="s">
        <v>1942</v>
      </c>
    </row>
    <row r="663" spans="1:16" customHeight="1" ht="58">
      <c r="A663" s="16"/>
      <c r="B663" s="18" t="s">
        <v>1931</v>
      </c>
      <c r="C663" s="17" t="s">
        <v>1932</v>
      </c>
      <c r="D663" s="17" t="s">
        <v>1925</v>
      </c>
      <c r="E663" s="17" t="s">
        <v>1934</v>
      </c>
      <c r="F663" s="19"/>
      <c r="G663" s="20">
        <v>1.0</v>
      </c>
      <c r="H663" s="21">
        <v>121.0</v>
      </c>
      <c r="I663" s="21">
        <v>121.0</v>
      </c>
      <c r="J663" s="22">
        <v>677.0</v>
      </c>
      <c r="K663" s="50"/>
      <c r="L663" s="21" t="str">
        <f>IF(K663&gt;0,K663*I663,"")</f>
      </c>
      <c r="M663" s="52"/>
      <c r="N663" t="str">
        <f>IF(K663&gt;0,COUNTIF($K$7:K663,"&gt;0"),"")</f>
      </c>
      <c r="O663" t="s">
        <v>1946</v>
      </c>
      <c r="P663" t="s">
        <v>1945</v>
      </c>
    </row>
    <row r="664" spans="1:16" customHeight="1" ht="58">
      <c r="A664" s="16"/>
      <c r="B664" s="18" t="s">
        <v>1948</v>
      </c>
      <c r="C664" s="17" t="s">
        <v>1949</v>
      </c>
      <c r="D664" s="17"/>
      <c r="E664" s="17"/>
      <c r="F664" s="19"/>
      <c r="G664" s="20">
        <v>1.0</v>
      </c>
      <c r="H664" s="21">
        <v>99.0</v>
      </c>
      <c r="I664" s="21">
        <v>99.0</v>
      </c>
      <c r="J664" s="22">
        <v>223.0</v>
      </c>
      <c r="K664" s="50"/>
      <c r="L664" s="21" t="str">
        <f>IF(K664&gt;0,K664*I664,"")</f>
      </c>
      <c r="M664" s="52"/>
      <c r="N664" t="str">
        <f>IF(K664&gt;0,COUNTIF($K$7:K664,"&gt;0"),"")</f>
      </c>
      <c r="O664" t="s">
        <v>1950</v>
      </c>
      <c r="P664" t="s">
        <v>1947</v>
      </c>
    </row>
    <row r="665" spans="1:16" customHeight="1" ht="58">
      <c r="A665" s="16"/>
      <c r="B665" s="18" t="s">
        <v>1948</v>
      </c>
      <c r="C665" s="17" t="s">
        <v>1952</v>
      </c>
      <c r="D665" s="17"/>
      <c r="E665" s="17"/>
      <c r="F665" s="19"/>
      <c r="G665" s="20">
        <v>1.0</v>
      </c>
      <c r="H665" s="21">
        <v>99.0</v>
      </c>
      <c r="I665" s="21">
        <v>99.0</v>
      </c>
      <c r="J665" s="22">
        <v>530.0</v>
      </c>
      <c r="K665" s="50"/>
      <c r="L665" s="21" t="str">
        <f>IF(K665&gt;0,K665*I665,"")</f>
      </c>
      <c r="M665" s="52"/>
      <c r="N665" t="str">
        <f>IF(K665&gt;0,COUNTIF($K$7:K665,"&gt;0"),"")</f>
      </c>
      <c r="O665" t="s">
        <v>1953</v>
      </c>
      <c r="P665" t="s">
        <v>1951</v>
      </c>
    </row>
    <row r="666" spans="1:16" customHeight="1" ht="58">
      <c r="A666" s="16"/>
      <c r="B666" s="18" t="s">
        <v>1948</v>
      </c>
      <c r="C666" s="17" t="s">
        <v>1955</v>
      </c>
      <c r="D666" s="17"/>
      <c r="E666" s="17"/>
      <c r="F666" s="19"/>
      <c r="G666" s="20">
        <v>1.0</v>
      </c>
      <c r="H666" s="21">
        <v>99.0</v>
      </c>
      <c r="I666" s="21">
        <v>99.0</v>
      </c>
      <c r="J666" s="22">
        <v>768.0</v>
      </c>
      <c r="K666" s="50"/>
      <c r="L666" s="21" t="str">
        <f>IF(K666&gt;0,K666*I666,"")</f>
      </c>
      <c r="M666" s="52"/>
      <c r="N666" t="str">
        <f>IF(K666&gt;0,COUNTIF($K$7:K666,"&gt;0"),"")</f>
      </c>
      <c r="O666" t="s">
        <v>1956</v>
      </c>
      <c r="P666" t="s">
        <v>1954</v>
      </c>
    </row>
    <row r="667" spans="1:16" customHeight="1" ht="58">
      <c r="A667" s="16"/>
      <c r="B667" s="18" t="s">
        <v>1958</v>
      </c>
      <c r="C667" s="17" t="s">
        <v>1959</v>
      </c>
      <c r="D667" s="17" t="s">
        <v>1960</v>
      </c>
      <c r="E667" s="17" t="s">
        <v>1913</v>
      </c>
      <c r="F667" s="19"/>
      <c r="G667" s="20">
        <v>1.0</v>
      </c>
      <c r="H667" s="21">
        <v>121.0</v>
      </c>
      <c r="I667" s="21">
        <v>121.0</v>
      </c>
      <c r="J667" s="22">
        <v>487.0</v>
      </c>
      <c r="K667" s="50"/>
      <c r="L667" s="21" t="str">
        <f>IF(K667&gt;0,K667*I667,"")</f>
      </c>
      <c r="M667" s="52"/>
      <c r="N667" t="str">
        <f>IF(K667&gt;0,COUNTIF($K$7:K667,"&gt;0"),"")</f>
      </c>
      <c r="O667" t="s">
        <v>1961</v>
      </c>
      <c r="P667" t="s">
        <v>1957</v>
      </c>
    </row>
    <row r="668" spans="1:16" customHeight="1" ht="58">
      <c r="A668" s="16"/>
      <c r="B668" s="18" t="s">
        <v>1958</v>
      </c>
      <c r="C668" s="17" t="s">
        <v>1959</v>
      </c>
      <c r="D668" s="17" t="s">
        <v>1963</v>
      </c>
      <c r="E668" s="17" t="s">
        <v>1913</v>
      </c>
      <c r="F668" s="19"/>
      <c r="G668" s="20">
        <v>1.0</v>
      </c>
      <c r="H668" s="21">
        <v>121.0</v>
      </c>
      <c r="I668" s="21">
        <v>121.0</v>
      </c>
      <c r="J668" s="22">
        <v>474.0</v>
      </c>
      <c r="K668" s="50"/>
      <c r="L668" s="21" t="str">
        <f>IF(K668&gt;0,K668*I668,"")</f>
      </c>
      <c r="M668" s="52"/>
      <c r="N668" t="str">
        <f>IF(K668&gt;0,COUNTIF($K$7:K668,"&gt;0"),"")</f>
      </c>
      <c r="O668" t="s">
        <v>1964</v>
      </c>
      <c r="P668" t="s">
        <v>1962</v>
      </c>
    </row>
    <row r="669" spans="1:16" customHeight="1" ht="58">
      <c r="A669" s="16"/>
      <c r="B669" s="18" t="s">
        <v>1958</v>
      </c>
      <c r="C669" s="17" t="s">
        <v>1959</v>
      </c>
      <c r="D669" s="17" t="s">
        <v>1940</v>
      </c>
      <c r="E669" s="17" t="s">
        <v>1913</v>
      </c>
      <c r="F669" s="19"/>
      <c r="G669" s="20">
        <v>1.0</v>
      </c>
      <c r="H669" s="21">
        <v>121.0</v>
      </c>
      <c r="I669" s="21">
        <v>121.0</v>
      </c>
      <c r="J669" s="22">
        <v>325.0</v>
      </c>
      <c r="K669" s="50"/>
      <c r="L669" s="21" t="str">
        <f>IF(K669&gt;0,K669*I669,"")</f>
      </c>
      <c r="M669" s="52"/>
      <c r="N669" t="str">
        <f>IF(K669&gt;0,COUNTIF($K$7:K669,"&gt;0"),"")</f>
      </c>
      <c r="O669" t="s">
        <v>1966</v>
      </c>
      <c r="P669" t="s">
        <v>1965</v>
      </c>
    </row>
    <row r="670" spans="1:16" customHeight="1" ht="58">
      <c r="A670" s="16"/>
      <c r="B670" s="18" t="s">
        <v>1958</v>
      </c>
      <c r="C670" s="17" t="s">
        <v>1959</v>
      </c>
      <c r="D670" s="17" t="s">
        <v>1968</v>
      </c>
      <c r="E670" s="17" t="s">
        <v>1913</v>
      </c>
      <c r="F670" s="19"/>
      <c r="G670" s="20">
        <v>1.0</v>
      </c>
      <c r="H670" s="21">
        <v>121.0</v>
      </c>
      <c r="I670" s="21">
        <v>121.0</v>
      </c>
      <c r="J670" s="22">
        <v>616.0</v>
      </c>
      <c r="K670" s="50"/>
      <c r="L670" s="21" t="str">
        <f>IF(K670&gt;0,K670*I670,"")</f>
      </c>
      <c r="M670" s="52"/>
      <c r="N670" t="str">
        <f>IF(K670&gt;0,COUNTIF($K$7:K670,"&gt;0"),"")</f>
      </c>
      <c r="O670" t="s">
        <v>1969</v>
      </c>
      <c r="P670" t="s">
        <v>1967</v>
      </c>
    </row>
    <row r="671" spans="1:16" customHeight="1" ht="58">
      <c r="A671" s="16"/>
      <c r="B671" s="18" t="s">
        <v>1958</v>
      </c>
      <c r="C671" s="17" t="s">
        <v>1959</v>
      </c>
      <c r="D671" s="17" t="s">
        <v>1925</v>
      </c>
      <c r="E671" s="17" t="s">
        <v>1913</v>
      </c>
      <c r="F671" s="19"/>
      <c r="G671" s="20">
        <v>1.0</v>
      </c>
      <c r="H671" s="21">
        <v>121.0</v>
      </c>
      <c r="I671" s="21">
        <v>121.0</v>
      </c>
      <c r="J671" s="22">
        <v>700.0</v>
      </c>
      <c r="K671" s="50"/>
      <c r="L671" s="21" t="str">
        <f>IF(K671&gt;0,K671*I671,"")</f>
      </c>
      <c r="M671" s="52"/>
      <c r="N671" t="str">
        <f>IF(K671&gt;0,COUNTIF($K$7:K671,"&gt;0"),"")</f>
      </c>
      <c r="O671" t="s">
        <v>1971</v>
      </c>
      <c r="P671" t="s">
        <v>1970</v>
      </c>
    </row>
    <row r="672" spans="1:16" customHeight="1" ht="58">
      <c r="A672" s="16"/>
      <c r="B672" s="18" t="s">
        <v>1973</v>
      </c>
      <c r="C672" s="17" t="s">
        <v>1974</v>
      </c>
      <c r="D672" s="17" t="s">
        <v>1975</v>
      </c>
      <c r="E672" s="17" t="s">
        <v>1913</v>
      </c>
      <c r="F672" s="19"/>
      <c r="G672" s="20">
        <v>1.0</v>
      </c>
      <c r="H672" s="21">
        <v>242.0</v>
      </c>
      <c r="I672" s="21">
        <v>154.0</v>
      </c>
      <c r="J672" s="22">
        <v>1264.0</v>
      </c>
      <c r="K672" s="50"/>
      <c r="L672" s="21" t="str">
        <f>IF(K672&gt;0,K672*I672,"")</f>
      </c>
      <c r="M672" s="52"/>
      <c r="N672" t="str">
        <f>IF(K672&gt;0,COUNTIF($K$7:K672,"&gt;0"),"")</f>
      </c>
      <c r="O672" t="s">
        <v>1976</v>
      </c>
      <c r="P672" t="s">
        <v>1972</v>
      </c>
    </row>
    <row r="673" spans="1:16" customHeight="1" ht="58">
      <c r="A673" s="16"/>
      <c r="B673" s="18" t="s">
        <v>1973</v>
      </c>
      <c r="C673" s="17" t="s">
        <v>1974</v>
      </c>
      <c r="D673" s="17" t="s">
        <v>1978</v>
      </c>
      <c r="E673" s="17" t="s">
        <v>1913</v>
      </c>
      <c r="F673" s="19"/>
      <c r="G673" s="20">
        <v>1.0</v>
      </c>
      <c r="H673" s="21">
        <v>242.0</v>
      </c>
      <c r="I673" s="21">
        <v>154.0</v>
      </c>
      <c r="J673" s="22">
        <v>1158.0</v>
      </c>
      <c r="K673" s="50"/>
      <c r="L673" s="21" t="str">
        <f>IF(K673&gt;0,K673*I673,"")</f>
      </c>
      <c r="M673" s="52"/>
      <c r="N673" t="str">
        <f>IF(K673&gt;0,COUNTIF($K$7:K673,"&gt;0"),"")</f>
      </c>
      <c r="O673" t="s">
        <v>1976</v>
      </c>
      <c r="P673" t="s">
        <v>1977</v>
      </c>
    </row>
    <row r="674" spans="1:16" customHeight="1" ht="58">
      <c r="A674" s="16"/>
      <c r="B674" s="18" t="s">
        <v>1973</v>
      </c>
      <c r="C674" s="17" t="s">
        <v>1974</v>
      </c>
      <c r="D674" s="17" t="s">
        <v>1980</v>
      </c>
      <c r="E674" s="17" t="s">
        <v>1913</v>
      </c>
      <c r="F674" s="19"/>
      <c r="G674" s="20">
        <v>1.0</v>
      </c>
      <c r="H674" s="21">
        <v>242.0</v>
      </c>
      <c r="I674" s="21">
        <v>154.0</v>
      </c>
      <c r="J674" s="22">
        <v>1110.0</v>
      </c>
      <c r="K674" s="50"/>
      <c r="L674" s="21" t="str">
        <f>IF(K674&gt;0,K674*I674,"")</f>
      </c>
      <c r="M674" s="52"/>
      <c r="N674" t="str">
        <f>IF(K674&gt;0,COUNTIF($K$7:K674,"&gt;0"),"")</f>
      </c>
      <c r="O674" t="s">
        <v>1976</v>
      </c>
      <c r="P674" t="s">
        <v>1979</v>
      </c>
    </row>
    <row r="675" spans="1:16" customHeight="1" ht="58">
      <c r="A675" s="16"/>
      <c r="B675" s="18" t="s">
        <v>1973</v>
      </c>
      <c r="C675" s="17" t="s">
        <v>1974</v>
      </c>
      <c r="D675" s="17" t="s">
        <v>1982</v>
      </c>
      <c r="E675" s="17" t="s">
        <v>1913</v>
      </c>
      <c r="F675" s="19"/>
      <c r="G675" s="20">
        <v>1.0</v>
      </c>
      <c r="H675" s="21">
        <v>242.0</v>
      </c>
      <c r="I675" s="21">
        <v>154.0</v>
      </c>
      <c r="J675" s="22">
        <v>1152.0</v>
      </c>
      <c r="K675" s="50"/>
      <c r="L675" s="21" t="str">
        <f>IF(K675&gt;0,K675*I675,"")</f>
      </c>
      <c r="M675" s="52"/>
      <c r="N675" t="str">
        <f>IF(K675&gt;0,COUNTIF($K$7:K675,"&gt;0"),"")</f>
      </c>
      <c r="O675" t="s">
        <v>1976</v>
      </c>
      <c r="P675" t="s">
        <v>1981</v>
      </c>
    </row>
    <row r="676" spans="1:16" customHeight="1" ht="58">
      <c r="A676" s="16"/>
      <c r="B676" s="18" t="s">
        <v>1973</v>
      </c>
      <c r="C676" s="17" t="s">
        <v>1974</v>
      </c>
      <c r="D676" s="17" t="s">
        <v>1984</v>
      </c>
      <c r="E676" s="17" t="s">
        <v>1913</v>
      </c>
      <c r="F676" s="19"/>
      <c r="G676" s="20">
        <v>1.0</v>
      </c>
      <c r="H676" s="21">
        <v>242.0</v>
      </c>
      <c r="I676" s="21">
        <v>154.0</v>
      </c>
      <c r="J676" s="22">
        <v>1133.0</v>
      </c>
      <c r="K676" s="50"/>
      <c r="L676" s="21" t="str">
        <f>IF(K676&gt;0,K676*I676,"")</f>
      </c>
      <c r="M676" s="52"/>
      <c r="N676" t="str">
        <f>IF(K676&gt;0,COUNTIF($K$7:K676,"&gt;0"),"")</f>
      </c>
      <c r="O676" t="s">
        <v>1976</v>
      </c>
      <c r="P676" t="s">
        <v>1983</v>
      </c>
    </row>
    <row r="677" spans="1:16" customHeight="1" ht="58">
      <c r="A677" s="16"/>
      <c r="B677" s="18" t="s">
        <v>1986</v>
      </c>
      <c r="C677" s="17" t="s">
        <v>1987</v>
      </c>
      <c r="D677" s="17" t="s">
        <v>1988</v>
      </c>
      <c r="E677" s="17" t="s">
        <v>1989</v>
      </c>
      <c r="F677" s="19"/>
      <c r="G677" s="20">
        <v>1.0</v>
      </c>
      <c r="H677" s="21">
        <v>198.0</v>
      </c>
      <c r="I677" s="21">
        <v>197.0</v>
      </c>
      <c r="J677" s="22">
        <v>42.0</v>
      </c>
      <c r="K677" s="50"/>
      <c r="L677" s="21" t="str">
        <f>IF(K677&gt;0,K677*I677,"")</f>
      </c>
      <c r="M677" s="52"/>
      <c r="N677" t="str">
        <f>IF(K677&gt;0,COUNTIF($K$7:K677,"&gt;0"),"")</f>
      </c>
      <c r="O677" t="s">
        <v>1990</v>
      </c>
      <c r="P677" t="s">
        <v>1985</v>
      </c>
    </row>
    <row r="678" spans="1:16" customHeight="1" ht="58">
      <c r="A678" s="16"/>
      <c r="B678" s="18" t="s">
        <v>1992</v>
      </c>
      <c r="C678" s="17" t="s">
        <v>1993</v>
      </c>
      <c r="D678" s="17" t="s">
        <v>1994</v>
      </c>
      <c r="E678" s="17" t="s">
        <v>1913</v>
      </c>
      <c r="F678" s="19"/>
      <c r="G678" s="20">
        <v>1.0</v>
      </c>
      <c r="H678" s="21">
        <v>104.5</v>
      </c>
      <c r="I678" s="21">
        <v>104.0</v>
      </c>
      <c r="J678" s="22">
        <v>275.0</v>
      </c>
      <c r="K678" s="50"/>
      <c r="L678" s="21" t="str">
        <f>IF(K678&gt;0,K678*I678,"")</f>
      </c>
      <c r="M678" s="52"/>
      <c r="N678" t="str">
        <f>IF(K678&gt;0,COUNTIF($K$7:K678,"&gt;0"),"")</f>
      </c>
      <c r="O678" t="s">
        <v>1995</v>
      </c>
      <c r="P678" t="s">
        <v>1991</v>
      </c>
    </row>
    <row r="679" spans="1:16" customHeight="1" ht="58">
      <c r="A679" s="16"/>
      <c r="B679" s="18" t="s">
        <v>1992</v>
      </c>
      <c r="C679" s="17" t="s">
        <v>1993</v>
      </c>
      <c r="D679" s="17" t="s">
        <v>1997</v>
      </c>
      <c r="E679" s="17" t="s">
        <v>1913</v>
      </c>
      <c r="F679" s="19"/>
      <c r="G679" s="20">
        <v>1.0</v>
      </c>
      <c r="H679" s="21">
        <v>104.5</v>
      </c>
      <c r="I679" s="21">
        <v>104.0</v>
      </c>
      <c r="J679" s="22">
        <v>2.0</v>
      </c>
      <c r="K679" s="50"/>
      <c r="L679" s="21" t="str">
        <f>IF(K679&gt;0,K679*I679,"")</f>
      </c>
      <c r="M679" s="52"/>
      <c r="N679" t="str">
        <f>IF(K679&gt;0,COUNTIF($K$7:K679,"&gt;0"),"")</f>
      </c>
      <c r="O679" t="s">
        <v>1998</v>
      </c>
      <c r="P679" t="s">
        <v>1996</v>
      </c>
    </row>
    <row r="680" spans="1:16" customHeight="1" ht="58">
      <c r="A680" s="16"/>
      <c r="B680" s="18" t="s">
        <v>1992</v>
      </c>
      <c r="C680" s="17" t="s">
        <v>1993</v>
      </c>
      <c r="D680" s="17" t="s">
        <v>1943</v>
      </c>
      <c r="E680" s="17" t="s">
        <v>1913</v>
      </c>
      <c r="F680" s="19"/>
      <c r="G680" s="20">
        <v>1.0</v>
      </c>
      <c r="H680" s="21">
        <v>104.5</v>
      </c>
      <c r="I680" s="21">
        <v>104.0</v>
      </c>
      <c r="J680" s="22">
        <v>255.0</v>
      </c>
      <c r="K680" s="50"/>
      <c r="L680" s="21" t="str">
        <f>IF(K680&gt;0,K680*I680,"")</f>
      </c>
      <c r="M680" s="52"/>
      <c r="N680" t="str">
        <f>IF(K680&gt;0,COUNTIF($K$7:K680,"&gt;0"),"")</f>
      </c>
      <c r="O680" t="s">
        <v>2000</v>
      </c>
      <c r="P680" t="s">
        <v>1999</v>
      </c>
    </row>
    <row r="681" spans="1:16" customHeight="1" ht="58">
      <c r="A681" s="16"/>
      <c r="B681" s="18" t="s">
        <v>2002</v>
      </c>
      <c r="C681" s="17" t="s">
        <v>2003</v>
      </c>
      <c r="D681" s="17" t="s">
        <v>2004</v>
      </c>
      <c r="E681" s="17" t="s">
        <v>1913</v>
      </c>
      <c r="F681" s="19"/>
      <c r="G681" s="20">
        <v>1.0</v>
      </c>
      <c r="H681" s="21">
        <v>104.5</v>
      </c>
      <c r="I681" s="21">
        <v>104.0</v>
      </c>
      <c r="J681" s="22">
        <v>66.0</v>
      </c>
      <c r="K681" s="50"/>
      <c r="L681" s="21" t="str">
        <f>IF(K681&gt;0,K681*I681,"")</f>
      </c>
      <c r="M681" s="52"/>
      <c r="N681" t="str">
        <f>IF(K681&gt;0,COUNTIF($K$7:K681,"&gt;0"),"")</f>
      </c>
      <c r="O681" t="s">
        <v>2005</v>
      </c>
      <c r="P681" t="s">
        <v>2001</v>
      </c>
    </row>
    <row r="682" spans="1:16" customHeight="1" ht="58">
      <c r="A682" s="16"/>
      <c r="B682" s="18" t="s">
        <v>2007</v>
      </c>
      <c r="C682" s="17" t="s">
        <v>2008</v>
      </c>
      <c r="D682" s="17" t="s">
        <v>2009</v>
      </c>
      <c r="E682" s="17" t="s">
        <v>1913</v>
      </c>
      <c r="F682" s="19"/>
      <c r="G682" s="20">
        <v>1.0</v>
      </c>
      <c r="H682" s="21">
        <v>104.5</v>
      </c>
      <c r="I682" s="21">
        <v>104.0</v>
      </c>
      <c r="J682" s="22">
        <v>48.0</v>
      </c>
      <c r="K682" s="50"/>
      <c r="L682" s="21" t="str">
        <f>IF(K682&gt;0,K682*I682,"")</f>
      </c>
      <c r="M682" s="52"/>
      <c r="N682" t="str">
        <f>IF(K682&gt;0,COUNTIF($K$7:K682,"&gt;0"),"")</f>
      </c>
      <c r="O682" t="s">
        <v>2010</v>
      </c>
      <c r="P682" t="s">
        <v>2006</v>
      </c>
    </row>
    <row r="683" spans="1:16" customHeight="1" ht="58">
      <c r="A683" s="16"/>
      <c r="B683" s="18" t="s">
        <v>2007</v>
      </c>
      <c r="C683" s="17" t="s">
        <v>2008</v>
      </c>
      <c r="D683" s="17" t="s">
        <v>2012</v>
      </c>
      <c r="E683" s="17" t="s">
        <v>1913</v>
      </c>
      <c r="F683" s="19"/>
      <c r="G683" s="20">
        <v>1.0</v>
      </c>
      <c r="H683" s="21">
        <v>104.5</v>
      </c>
      <c r="I683" s="21">
        <v>104.0</v>
      </c>
      <c r="J683" s="22">
        <v>177.0</v>
      </c>
      <c r="K683" s="50"/>
      <c r="L683" s="21" t="str">
        <f>IF(K683&gt;0,K683*I683,"")</f>
      </c>
      <c r="M683" s="52"/>
      <c r="N683" t="str">
        <f>IF(K683&gt;0,COUNTIF($K$7:K683,"&gt;0"),"")</f>
      </c>
      <c r="O683" t="s">
        <v>2013</v>
      </c>
      <c r="P683" t="s">
        <v>2011</v>
      </c>
    </row>
    <row r="684" spans="1:16" customHeight="1" ht="58">
      <c r="A684" s="16"/>
      <c r="B684" s="18" t="s">
        <v>2015</v>
      </c>
      <c r="C684" s="17" t="s">
        <v>1850</v>
      </c>
      <c r="D684" s="17" t="s">
        <v>2016</v>
      </c>
      <c r="E684" s="17" t="s">
        <v>1913</v>
      </c>
      <c r="F684" s="19"/>
      <c r="G684" s="20">
        <v>1.0</v>
      </c>
      <c r="H684" s="21">
        <v>132.0</v>
      </c>
      <c r="I684" s="21">
        <v>128.0</v>
      </c>
      <c r="J684" s="22">
        <v>173.0</v>
      </c>
      <c r="K684" s="50"/>
      <c r="L684" s="21" t="str">
        <f>IF(K684&gt;0,K684*I684,"")</f>
      </c>
      <c r="M684" s="52"/>
      <c r="N684" t="str">
        <f>IF(K684&gt;0,COUNTIF($K$7:K684,"&gt;0"),"")</f>
      </c>
      <c r="O684" t="s">
        <v>2017</v>
      </c>
      <c r="P684" t="s">
        <v>2014</v>
      </c>
    </row>
    <row r="685" spans="1:16" customHeight="1" ht="58">
      <c r="A685" s="16"/>
      <c r="B685" s="18" t="s">
        <v>2019</v>
      </c>
      <c r="C685" s="17" t="s">
        <v>2020</v>
      </c>
      <c r="D685" s="17" t="s">
        <v>2021</v>
      </c>
      <c r="E685" s="17" t="s">
        <v>1913</v>
      </c>
      <c r="F685" s="19"/>
      <c r="G685" s="20">
        <v>1.0</v>
      </c>
      <c r="H685" s="21">
        <v>132.0</v>
      </c>
      <c r="I685" s="21">
        <v>128.0</v>
      </c>
      <c r="J685" s="22">
        <v>16.0</v>
      </c>
      <c r="K685" s="50"/>
      <c r="L685" s="21" t="str">
        <f>IF(K685&gt;0,K685*I685,"")</f>
      </c>
      <c r="M685" s="52"/>
      <c r="N685" t="str">
        <f>IF(K685&gt;0,COUNTIF($K$7:K685,"&gt;0"),"")</f>
      </c>
      <c r="O685" t="s">
        <v>2022</v>
      </c>
      <c r="P685" t="s">
        <v>2018</v>
      </c>
    </row>
    <row r="686" spans="1:16" customHeight="1" ht="58">
      <c r="A686" s="16"/>
      <c r="B686" s="18" t="s">
        <v>2024</v>
      </c>
      <c r="C686" s="17" t="s">
        <v>2025</v>
      </c>
      <c r="D686" s="17" t="s">
        <v>2026</v>
      </c>
      <c r="E686" s="17" t="s">
        <v>1913</v>
      </c>
      <c r="F686" s="19"/>
      <c r="G686" s="20">
        <v>1.0</v>
      </c>
      <c r="H686" s="21">
        <v>132.0</v>
      </c>
      <c r="I686" s="21">
        <v>128.0</v>
      </c>
      <c r="J686" s="22">
        <v>105.0</v>
      </c>
      <c r="K686" s="50"/>
      <c r="L686" s="21" t="str">
        <f>IF(K686&gt;0,K686*I686,"")</f>
      </c>
      <c r="M686" s="52"/>
      <c r="N686" t="str">
        <f>IF(K686&gt;0,COUNTIF($K$7:K686,"&gt;0"),"")</f>
      </c>
      <c r="O686" t="s">
        <v>2027</v>
      </c>
      <c r="P686" t="s">
        <v>2023</v>
      </c>
    </row>
    <row r="687" spans="1:16" customHeight="1" ht="58">
      <c r="A687" s="16"/>
      <c r="B687" s="18" t="s">
        <v>2024</v>
      </c>
      <c r="C687" s="17" t="s">
        <v>2025</v>
      </c>
      <c r="D687" s="17" t="s">
        <v>2029</v>
      </c>
      <c r="E687" s="17" t="s">
        <v>1913</v>
      </c>
      <c r="F687" s="19"/>
      <c r="G687" s="20">
        <v>1.0</v>
      </c>
      <c r="H687" s="21">
        <v>132.0</v>
      </c>
      <c r="I687" s="21">
        <v>128.0</v>
      </c>
      <c r="J687" s="22">
        <v>16.0</v>
      </c>
      <c r="K687" s="50"/>
      <c r="L687" s="21" t="str">
        <f>IF(K687&gt;0,K687*I687,"")</f>
      </c>
      <c r="M687" s="52"/>
      <c r="N687" t="str">
        <f>IF(K687&gt;0,COUNTIF($K$7:K687,"&gt;0"),"")</f>
      </c>
      <c r="O687" t="s">
        <v>2030</v>
      </c>
      <c r="P687" t="s">
        <v>2028</v>
      </c>
    </row>
    <row r="688" spans="1:16" customHeight="1" ht="58">
      <c r="A688" s="16"/>
      <c r="B688" s="18" t="s">
        <v>2024</v>
      </c>
      <c r="C688" s="17" t="s">
        <v>2025</v>
      </c>
      <c r="D688" s="17" t="s">
        <v>2032</v>
      </c>
      <c r="E688" s="17" t="s">
        <v>1913</v>
      </c>
      <c r="F688" s="19"/>
      <c r="G688" s="20">
        <v>1.0</v>
      </c>
      <c r="H688" s="21">
        <v>132.0</v>
      </c>
      <c r="I688" s="21">
        <v>128.0</v>
      </c>
      <c r="J688" s="22">
        <v>62.0</v>
      </c>
      <c r="K688" s="50"/>
      <c r="L688" s="21" t="str">
        <f>IF(K688&gt;0,K688*I688,"")</f>
      </c>
      <c r="M688" s="52"/>
      <c r="N688" t="str">
        <f>IF(K688&gt;0,COUNTIF($K$7:K688,"&gt;0"),"")</f>
      </c>
      <c r="O688" t="s">
        <v>2033</v>
      </c>
      <c r="P688" t="s">
        <v>2031</v>
      </c>
    </row>
    <row r="689" spans="1:16" customHeight="1" ht="58">
      <c r="A689" s="16"/>
      <c r="B689" s="18" t="s">
        <v>2024</v>
      </c>
      <c r="C689" s="17" t="s">
        <v>2025</v>
      </c>
      <c r="D689" s="17" t="s">
        <v>2035</v>
      </c>
      <c r="E689" s="17" t="s">
        <v>1913</v>
      </c>
      <c r="F689" s="19"/>
      <c r="G689" s="20">
        <v>1.0</v>
      </c>
      <c r="H689" s="21">
        <v>132.0</v>
      </c>
      <c r="I689" s="21">
        <v>128.0</v>
      </c>
      <c r="J689" s="22">
        <v>25.0</v>
      </c>
      <c r="K689" s="50"/>
      <c r="L689" s="21" t="str">
        <f>IF(K689&gt;0,K689*I689,"")</f>
      </c>
      <c r="M689" s="52"/>
      <c r="N689" t="str">
        <f>IF(K689&gt;0,COUNTIF($K$7:K689,"&gt;0"),"")</f>
      </c>
      <c r="O689" t="s">
        <v>2036</v>
      </c>
      <c r="P689" t="s">
        <v>2034</v>
      </c>
    </row>
    <row r="690" spans="1:16" customHeight="1" ht="58">
      <c r="A690" s="16"/>
      <c r="B690" s="18" t="s">
        <v>2038</v>
      </c>
      <c r="C690" s="17" t="s">
        <v>566</v>
      </c>
      <c r="D690" s="17" t="s">
        <v>858</v>
      </c>
      <c r="E690" s="17" t="s">
        <v>2039</v>
      </c>
      <c r="F690" s="19"/>
      <c r="G690" s="20">
        <v>1.0</v>
      </c>
      <c r="H690" s="21">
        <v>104.5</v>
      </c>
      <c r="I690" s="21">
        <v>66.0</v>
      </c>
      <c r="J690" s="22">
        <v>52.0</v>
      </c>
      <c r="K690" s="50"/>
      <c r="L690" s="21" t="str">
        <f>IF(K690&gt;0,K690*I690,"")</f>
      </c>
      <c r="M690" s="52"/>
      <c r="N690" t="str">
        <f>IF(K690&gt;0,COUNTIF($K$7:K690,"&gt;0"),"")</f>
      </c>
      <c r="O690" t="s">
        <v>2040</v>
      </c>
      <c r="P690" t="s">
        <v>2037</v>
      </c>
    </row>
    <row r="691" spans="1:16" customHeight="1" ht="58">
      <c r="A691" s="16"/>
      <c r="B691" s="18" t="s">
        <v>2038</v>
      </c>
      <c r="C691" s="17" t="s">
        <v>566</v>
      </c>
      <c r="D691" s="17" t="s">
        <v>144</v>
      </c>
      <c r="E691" s="17" t="s">
        <v>2039</v>
      </c>
      <c r="F691" s="19"/>
      <c r="G691" s="20">
        <v>1.0</v>
      </c>
      <c r="H691" s="21">
        <v>104.5</v>
      </c>
      <c r="I691" s="21">
        <v>66.0</v>
      </c>
      <c r="J691" s="22">
        <v>62.0</v>
      </c>
      <c r="K691" s="50"/>
      <c r="L691" s="21" t="str">
        <f>IF(K691&gt;0,K691*I691,"")</f>
      </c>
      <c r="M691" s="52"/>
      <c r="N691" t="str">
        <f>IF(K691&gt;0,COUNTIF($K$7:K691,"&gt;0"),"")</f>
      </c>
      <c r="O691" t="s">
        <v>2040</v>
      </c>
      <c r="P691" t="s">
        <v>2041</v>
      </c>
    </row>
    <row r="692" spans="1:16" customHeight="1" ht="58">
      <c r="A692" s="16"/>
      <c r="B692" s="18" t="s">
        <v>2038</v>
      </c>
      <c r="C692" s="17" t="s">
        <v>566</v>
      </c>
      <c r="D692" s="17" t="s">
        <v>136</v>
      </c>
      <c r="E692" s="17" t="s">
        <v>2039</v>
      </c>
      <c r="F692" s="19"/>
      <c r="G692" s="20">
        <v>1.0</v>
      </c>
      <c r="H692" s="21">
        <v>104.5</v>
      </c>
      <c r="I692" s="21">
        <v>66.0</v>
      </c>
      <c r="J692" s="22">
        <v>53.0</v>
      </c>
      <c r="K692" s="50"/>
      <c r="L692" s="21" t="str">
        <f>IF(K692&gt;0,K692*I692,"")</f>
      </c>
      <c r="M692" s="52"/>
      <c r="N692" t="str">
        <f>IF(K692&gt;0,COUNTIF($K$7:K692,"&gt;0"),"")</f>
      </c>
      <c r="O692" t="s">
        <v>2040</v>
      </c>
      <c r="P692" t="s">
        <v>2042</v>
      </c>
    </row>
    <row r="693" spans="1:16" customHeight="1" ht="58">
      <c r="A693" s="16"/>
      <c r="B693" s="18" t="s">
        <v>2044</v>
      </c>
      <c r="C693" s="17" t="s">
        <v>2045</v>
      </c>
      <c r="D693" s="17" t="s">
        <v>2046</v>
      </c>
      <c r="E693" s="17" t="s">
        <v>1913</v>
      </c>
      <c r="F693" s="19"/>
      <c r="G693" s="20">
        <v>1.0</v>
      </c>
      <c r="H693" s="21">
        <v>121.0</v>
      </c>
      <c r="I693" s="21">
        <v>121.0</v>
      </c>
      <c r="J693" s="22">
        <v>237.0</v>
      </c>
      <c r="K693" s="50"/>
      <c r="L693" s="21" t="str">
        <f>IF(K693&gt;0,K693*I693,"")</f>
      </c>
      <c r="M693" s="52"/>
      <c r="N693" t="str">
        <f>IF(K693&gt;0,COUNTIF($K$7:K693,"&gt;0"),"")</f>
      </c>
      <c r="O693" t="s">
        <v>2047</v>
      </c>
      <c r="P693" t="s">
        <v>2043</v>
      </c>
    </row>
    <row r="694" spans="1:16" customHeight="1" ht="58">
      <c r="A694" s="16"/>
      <c r="B694" s="18" t="s">
        <v>2044</v>
      </c>
      <c r="C694" s="17" t="s">
        <v>2045</v>
      </c>
      <c r="D694" s="17" t="s">
        <v>2049</v>
      </c>
      <c r="E694" s="17" t="s">
        <v>1913</v>
      </c>
      <c r="F694" s="19"/>
      <c r="G694" s="20">
        <v>1.0</v>
      </c>
      <c r="H694" s="21">
        <v>121.0</v>
      </c>
      <c r="I694" s="21">
        <v>121.0</v>
      </c>
      <c r="J694" s="22">
        <v>201.0</v>
      </c>
      <c r="K694" s="50"/>
      <c r="L694" s="21" t="str">
        <f>IF(K694&gt;0,K694*I694,"")</f>
      </c>
      <c r="M694" s="52"/>
      <c r="N694" t="str">
        <f>IF(K694&gt;0,COUNTIF($K$7:K694,"&gt;0"),"")</f>
      </c>
      <c r="O694" t="s">
        <v>2050</v>
      </c>
      <c r="P694" t="s">
        <v>2048</v>
      </c>
    </row>
    <row r="695" spans="1:16" customHeight="1" ht="58">
      <c r="A695" s="16"/>
      <c r="B695" s="18" t="s">
        <v>2044</v>
      </c>
      <c r="C695" s="17" t="s">
        <v>2045</v>
      </c>
      <c r="D695" s="17" t="s">
        <v>1968</v>
      </c>
      <c r="E695" s="17" t="s">
        <v>1913</v>
      </c>
      <c r="F695" s="19"/>
      <c r="G695" s="20">
        <v>1.0</v>
      </c>
      <c r="H695" s="21">
        <v>121.0</v>
      </c>
      <c r="I695" s="21">
        <v>121.0</v>
      </c>
      <c r="J695" s="22">
        <v>255.0</v>
      </c>
      <c r="K695" s="50"/>
      <c r="L695" s="21" t="str">
        <f>IF(K695&gt;0,K695*I695,"")</f>
      </c>
      <c r="M695" s="52"/>
      <c r="N695" t="str">
        <f>IF(K695&gt;0,COUNTIF($K$7:K695,"&gt;0"),"")</f>
      </c>
      <c r="O695" t="s">
        <v>2052</v>
      </c>
      <c r="P695" t="s">
        <v>2051</v>
      </c>
    </row>
    <row r="696" spans="1:16" customHeight="1" ht="58">
      <c r="A696" s="16"/>
      <c r="B696" s="18" t="s">
        <v>2044</v>
      </c>
      <c r="C696" s="17" t="s">
        <v>2045</v>
      </c>
      <c r="D696" s="17" t="s">
        <v>2054</v>
      </c>
      <c r="E696" s="17" t="s">
        <v>1913</v>
      </c>
      <c r="F696" s="19"/>
      <c r="G696" s="20">
        <v>1.0</v>
      </c>
      <c r="H696" s="21">
        <v>121.0</v>
      </c>
      <c r="I696" s="21">
        <v>121.0</v>
      </c>
      <c r="J696" s="22">
        <v>187.0</v>
      </c>
      <c r="K696" s="50"/>
      <c r="L696" s="21" t="str">
        <f>IF(K696&gt;0,K696*I696,"")</f>
      </c>
      <c r="M696" s="52"/>
      <c r="N696" t="str">
        <f>IF(K696&gt;0,COUNTIF($K$7:K696,"&gt;0"),"")</f>
      </c>
      <c r="O696" t="s">
        <v>2055</v>
      </c>
      <c r="P696" t="s">
        <v>2053</v>
      </c>
    </row>
    <row r="697" spans="1:16" customHeight="1" ht="58">
      <c r="A697" s="16"/>
      <c r="B697" s="18" t="s">
        <v>2057</v>
      </c>
      <c r="C697" s="17" t="s">
        <v>2058</v>
      </c>
      <c r="D697" s="17" t="s">
        <v>2059</v>
      </c>
      <c r="E697" s="17" t="s">
        <v>1913</v>
      </c>
      <c r="F697" s="19"/>
      <c r="G697" s="20">
        <v>1.0</v>
      </c>
      <c r="H697" s="21">
        <v>121.0</v>
      </c>
      <c r="I697" s="21">
        <v>121.0</v>
      </c>
      <c r="J697" s="22">
        <v>1449.0</v>
      </c>
      <c r="K697" s="50"/>
      <c r="L697" s="21" t="str">
        <f>IF(K697&gt;0,K697*I697,"")</f>
      </c>
      <c r="M697" s="52"/>
      <c r="N697" t="str">
        <f>IF(K697&gt;0,COUNTIF($K$7:K697,"&gt;0"),"")</f>
      </c>
      <c r="O697" t="s">
        <v>2060</v>
      </c>
      <c r="P697" t="s">
        <v>2056</v>
      </c>
    </row>
    <row r="698" spans="1:16" customHeight="1" ht="58">
      <c r="A698" s="16"/>
      <c r="B698" s="18" t="s">
        <v>2057</v>
      </c>
      <c r="C698" s="17" t="s">
        <v>2058</v>
      </c>
      <c r="D698" s="17" t="s">
        <v>1984</v>
      </c>
      <c r="E698" s="17" t="s">
        <v>1913</v>
      </c>
      <c r="F698" s="19"/>
      <c r="G698" s="20">
        <v>1.0</v>
      </c>
      <c r="H698" s="21">
        <v>121.0</v>
      </c>
      <c r="I698" s="21">
        <v>121.0</v>
      </c>
      <c r="J698" s="22">
        <v>648.0</v>
      </c>
      <c r="K698" s="50"/>
      <c r="L698" s="21" t="str">
        <f>IF(K698&gt;0,K698*I698,"")</f>
      </c>
      <c r="M698" s="52"/>
      <c r="N698" t="str">
        <f>IF(K698&gt;0,COUNTIF($K$7:K698,"&gt;0"),"")</f>
      </c>
      <c r="O698" t="s">
        <v>2062</v>
      </c>
      <c r="P698" t="s">
        <v>2061</v>
      </c>
    </row>
    <row r="699" spans="1:16" customHeight="1" ht="58">
      <c r="A699" s="16"/>
      <c r="B699" s="18" t="s">
        <v>2057</v>
      </c>
      <c r="C699" s="17" t="s">
        <v>2058</v>
      </c>
      <c r="D699" s="17" t="s">
        <v>2054</v>
      </c>
      <c r="E699" s="17" t="s">
        <v>1913</v>
      </c>
      <c r="F699" s="19"/>
      <c r="G699" s="20">
        <v>1.0</v>
      </c>
      <c r="H699" s="21">
        <v>121.0</v>
      </c>
      <c r="I699" s="21">
        <v>121.0</v>
      </c>
      <c r="J699" s="22">
        <v>666.0</v>
      </c>
      <c r="K699" s="50"/>
      <c r="L699" s="21" t="str">
        <f>IF(K699&gt;0,K699*I699,"")</f>
      </c>
      <c r="M699" s="52"/>
      <c r="N699" t="str">
        <f>IF(K699&gt;0,COUNTIF($K$7:K699,"&gt;0"),"")</f>
      </c>
      <c r="O699" t="s">
        <v>2064</v>
      </c>
      <c r="P699" t="s">
        <v>2063</v>
      </c>
    </row>
    <row r="700" spans="1:16" customHeight="1" ht="58">
      <c r="A700" s="16"/>
      <c r="B700" s="18" t="s">
        <v>2057</v>
      </c>
      <c r="C700" s="17" t="s">
        <v>2058</v>
      </c>
      <c r="D700" s="17" t="s">
        <v>1963</v>
      </c>
      <c r="E700" s="17" t="s">
        <v>1913</v>
      </c>
      <c r="F700" s="19"/>
      <c r="G700" s="20">
        <v>1.0</v>
      </c>
      <c r="H700" s="21">
        <v>121.0</v>
      </c>
      <c r="I700" s="21">
        <v>121.0</v>
      </c>
      <c r="J700" s="22">
        <v>739.0</v>
      </c>
      <c r="K700" s="50"/>
      <c r="L700" s="21" t="str">
        <f>IF(K700&gt;0,K700*I700,"")</f>
      </c>
      <c r="M700" s="52"/>
      <c r="N700" t="str">
        <f>IF(K700&gt;0,COUNTIF($K$7:K700,"&gt;0"),"")</f>
      </c>
      <c r="O700" t="s">
        <v>2066</v>
      </c>
      <c r="P700" t="s">
        <v>2065</v>
      </c>
    </row>
    <row r="701" spans="1:16" customHeight="1" ht="58">
      <c r="A701" s="16"/>
      <c r="B701" s="18" t="s">
        <v>2057</v>
      </c>
      <c r="C701" s="17" t="s">
        <v>2058</v>
      </c>
      <c r="D701" s="17" t="s">
        <v>2068</v>
      </c>
      <c r="E701" s="17" t="s">
        <v>1913</v>
      </c>
      <c r="F701" s="19"/>
      <c r="G701" s="20">
        <v>1.0</v>
      </c>
      <c r="H701" s="21">
        <v>121.0</v>
      </c>
      <c r="I701" s="21">
        <v>121.0</v>
      </c>
      <c r="J701" s="22">
        <v>1446.0</v>
      </c>
      <c r="K701" s="50"/>
      <c r="L701" s="21" t="str">
        <f>IF(K701&gt;0,K701*I701,"")</f>
      </c>
      <c r="M701" s="52"/>
      <c r="N701" t="str">
        <f>IF(K701&gt;0,COUNTIF($K$7:K701,"&gt;0"),"")</f>
      </c>
      <c r="O701" t="s">
        <v>2069</v>
      </c>
      <c r="P701" t="s">
        <v>2067</v>
      </c>
    </row>
    <row r="702" spans="1:16" customHeight="1" ht="58">
      <c r="A702" s="16"/>
      <c r="B702" s="18" t="s">
        <v>2057</v>
      </c>
      <c r="C702" s="17" t="s">
        <v>2058</v>
      </c>
      <c r="D702" s="17" t="s">
        <v>1940</v>
      </c>
      <c r="E702" s="17" t="s">
        <v>1913</v>
      </c>
      <c r="F702" s="19"/>
      <c r="G702" s="20">
        <v>1.0</v>
      </c>
      <c r="H702" s="21">
        <v>121.0</v>
      </c>
      <c r="I702" s="21">
        <v>121.0</v>
      </c>
      <c r="J702" s="22">
        <v>1143.0</v>
      </c>
      <c r="K702" s="50"/>
      <c r="L702" s="21" t="str">
        <f>IF(K702&gt;0,K702*I702,"")</f>
      </c>
      <c r="M702" s="52"/>
      <c r="N702" t="str">
        <f>IF(K702&gt;0,COUNTIF($K$7:K702,"&gt;0"),"")</f>
      </c>
      <c r="O702" t="s">
        <v>2071</v>
      </c>
      <c r="P702" t="s">
        <v>2070</v>
      </c>
    </row>
    <row r="703" spans="1:16" customHeight="1" ht="58">
      <c r="A703" s="16"/>
      <c r="B703" s="18" t="s">
        <v>2073</v>
      </c>
      <c r="C703" s="17" t="s">
        <v>2074</v>
      </c>
      <c r="D703" s="17" t="s">
        <v>2075</v>
      </c>
      <c r="E703" s="17" t="s">
        <v>1913</v>
      </c>
      <c r="F703" s="19"/>
      <c r="G703" s="20">
        <v>1.0</v>
      </c>
      <c r="H703" s="21">
        <v>104.5</v>
      </c>
      <c r="I703" s="21">
        <v>104.0</v>
      </c>
      <c r="J703" s="22">
        <v>550.0</v>
      </c>
      <c r="K703" s="50"/>
      <c r="L703" s="21" t="str">
        <f>IF(K703&gt;0,K703*I703,"")</f>
      </c>
      <c r="M703" s="52"/>
      <c r="N703" t="str">
        <f>IF(K703&gt;0,COUNTIF($K$7:K703,"&gt;0"),"")</f>
      </c>
      <c r="O703" t="s">
        <v>2076</v>
      </c>
      <c r="P703" t="s">
        <v>2072</v>
      </c>
    </row>
    <row r="704" spans="1:16" customHeight="1" ht="58">
      <c r="A704" s="16"/>
      <c r="B704" s="18" t="s">
        <v>2073</v>
      </c>
      <c r="C704" s="17" t="s">
        <v>2074</v>
      </c>
      <c r="D704" s="17" t="s">
        <v>2078</v>
      </c>
      <c r="E704" s="17" t="s">
        <v>1913</v>
      </c>
      <c r="F704" s="19"/>
      <c r="G704" s="20">
        <v>1.0</v>
      </c>
      <c r="H704" s="21">
        <v>104.5</v>
      </c>
      <c r="I704" s="21">
        <v>104.0</v>
      </c>
      <c r="J704" s="22">
        <v>204.0</v>
      </c>
      <c r="K704" s="50"/>
      <c r="L704" s="21" t="str">
        <f>IF(K704&gt;0,K704*I704,"")</f>
      </c>
      <c r="M704" s="52"/>
      <c r="N704" t="str">
        <f>IF(K704&gt;0,COUNTIF($K$7:K704,"&gt;0"),"")</f>
      </c>
      <c r="O704" t="s">
        <v>2079</v>
      </c>
      <c r="P704" t="s">
        <v>2077</v>
      </c>
    </row>
    <row r="705" spans="1:16" customHeight="1" ht="58">
      <c r="A705" s="16"/>
      <c r="B705" s="18" t="s">
        <v>2073</v>
      </c>
      <c r="C705" s="17" t="s">
        <v>2074</v>
      </c>
      <c r="D705" s="17" t="s">
        <v>2081</v>
      </c>
      <c r="E705" s="17" t="s">
        <v>1913</v>
      </c>
      <c r="F705" s="19"/>
      <c r="G705" s="20">
        <v>1.0</v>
      </c>
      <c r="H705" s="21">
        <v>104.5</v>
      </c>
      <c r="I705" s="21">
        <v>104.0</v>
      </c>
      <c r="J705" s="22">
        <v>126.0</v>
      </c>
      <c r="K705" s="50"/>
      <c r="L705" s="21" t="str">
        <f>IF(K705&gt;0,K705*I705,"")</f>
      </c>
      <c r="M705" s="52"/>
      <c r="N705" t="str">
        <f>IF(K705&gt;0,COUNTIF($K$7:K705,"&gt;0"),"")</f>
      </c>
      <c r="O705" t="s">
        <v>2082</v>
      </c>
      <c r="P705" t="s">
        <v>2080</v>
      </c>
    </row>
    <row r="706" spans="1:16" customHeight="1" ht="58">
      <c r="A706" s="16"/>
      <c r="B706" s="18" t="s">
        <v>2073</v>
      </c>
      <c r="C706" s="17" t="s">
        <v>2074</v>
      </c>
      <c r="D706" s="17" t="s">
        <v>2084</v>
      </c>
      <c r="E706" s="17" t="s">
        <v>1913</v>
      </c>
      <c r="F706" s="19"/>
      <c r="G706" s="20">
        <v>1.0</v>
      </c>
      <c r="H706" s="21">
        <v>104.5</v>
      </c>
      <c r="I706" s="21">
        <v>104.0</v>
      </c>
      <c r="J706" s="22">
        <v>3.0</v>
      </c>
      <c r="K706" s="50"/>
      <c r="L706" s="21" t="str">
        <f>IF(K706&gt;0,K706*I706,"")</f>
      </c>
      <c r="M706" s="52"/>
      <c r="N706" t="str">
        <f>IF(K706&gt;0,COUNTIF($K$7:K706,"&gt;0"),"")</f>
      </c>
      <c r="O706" t="s">
        <v>2085</v>
      </c>
      <c r="P706" t="s">
        <v>2083</v>
      </c>
    </row>
    <row r="707" spans="1:16" customHeight="1" ht="58">
      <c r="A707" s="16"/>
      <c r="B707" s="18" t="s">
        <v>2073</v>
      </c>
      <c r="C707" s="17" t="s">
        <v>2074</v>
      </c>
      <c r="D707" s="17" t="s">
        <v>2087</v>
      </c>
      <c r="E707" s="17" t="s">
        <v>1913</v>
      </c>
      <c r="F707" s="19"/>
      <c r="G707" s="20">
        <v>1.0</v>
      </c>
      <c r="H707" s="21">
        <v>104.5</v>
      </c>
      <c r="I707" s="21">
        <v>104.0</v>
      </c>
      <c r="J707" s="22">
        <v>388.0</v>
      </c>
      <c r="K707" s="50"/>
      <c r="L707" s="21" t="str">
        <f>IF(K707&gt;0,K707*I707,"")</f>
      </c>
      <c r="M707" s="52"/>
      <c r="N707" t="str">
        <f>IF(K707&gt;0,COUNTIF($K$7:K707,"&gt;0"),"")</f>
      </c>
      <c r="O707" t="s">
        <v>2088</v>
      </c>
      <c r="P707" t="s">
        <v>2086</v>
      </c>
    </row>
    <row r="708" spans="1:16" customHeight="1" ht="58">
      <c r="A708" s="16"/>
      <c r="B708" s="18" t="s">
        <v>2073</v>
      </c>
      <c r="C708" s="17" t="s">
        <v>2074</v>
      </c>
      <c r="D708" s="17" t="s">
        <v>2090</v>
      </c>
      <c r="E708" s="17" t="s">
        <v>1913</v>
      </c>
      <c r="F708" s="19"/>
      <c r="G708" s="20">
        <v>1.0</v>
      </c>
      <c r="H708" s="21">
        <v>104.5</v>
      </c>
      <c r="I708" s="21">
        <v>104.0</v>
      </c>
      <c r="J708" s="22">
        <v>1062.0</v>
      </c>
      <c r="K708" s="50"/>
      <c r="L708" s="21" t="str">
        <f>IF(K708&gt;0,K708*I708,"")</f>
      </c>
      <c r="M708" s="52"/>
      <c r="N708" t="str">
        <f>IF(K708&gt;0,COUNTIF($K$7:K708,"&gt;0"),"")</f>
      </c>
      <c r="O708" t="s">
        <v>2091</v>
      </c>
      <c r="P708" t="s">
        <v>2089</v>
      </c>
    </row>
    <row r="709" spans="1:16" customHeight="1" ht="58">
      <c r="A709" s="16"/>
      <c r="B709" s="18" t="s">
        <v>2073</v>
      </c>
      <c r="C709" s="17" t="s">
        <v>2074</v>
      </c>
      <c r="D709" s="17" t="s">
        <v>2093</v>
      </c>
      <c r="E709" s="17" t="s">
        <v>1913</v>
      </c>
      <c r="F709" s="19"/>
      <c r="G709" s="20">
        <v>1.0</v>
      </c>
      <c r="H709" s="21">
        <v>104.5</v>
      </c>
      <c r="I709" s="21">
        <v>104.0</v>
      </c>
      <c r="J709" s="22">
        <v>2.0</v>
      </c>
      <c r="K709" s="50"/>
      <c r="L709" s="21" t="str">
        <f>IF(K709&gt;0,K709*I709,"")</f>
      </c>
      <c r="M709" s="52"/>
      <c r="N709" t="str">
        <f>IF(K709&gt;0,COUNTIF($K$7:K709,"&gt;0"),"")</f>
      </c>
      <c r="O709" t="s">
        <v>2094</v>
      </c>
      <c r="P709" t="s">
        <v>2092</v>
      </c>
    </row>
    <row r="710" spans="1:16" customHeight="1" ht="58">
      <c r="A710" s="16"/>
      <c r="B710" s="18" t="s">
        <v>2073</v>
      </c>
      <c r="C710" s="17" t="s">
        <v>2074</v>
      </c>
      <c r="D710" s="17" t="s">
        <v>2096</v>
      </c>
      <c r="E710" s="17" t="s">
        <v>1913</v>
      </c>
      <c r="F710" s="19"/>
      <c r="G710" s="20">
        <v>1.0</v>
      </c>
      <c r="H710" s="21">
        <v>104.5</v>
      </c>
      <c r="I710" s="21">
        <v>104.0</v>
      </c>
      <c r="J710" s="22">
        <v>594.0</v>
      </c>
      <c r="K710" s="50"/>
      <c r="L710" s="21" t="str">
        <f>IF(K710&gt;0,K710*I710,"")</f>
      </c>
      <c r="M710" s="52"/>
      <c r="N710" t="str">
        <f>IF(K710&gt;0,COUNTIF($K$7:K710,"&gt;0"),"")</f>
      </c>
      <c r="O710" t="s">
        <v>2097</v>
      </c>
      <c r="P710" t="s">
        <v>2095</v>
      </c>
    </row>
    <row r="711" spans="1:16" customHeight="1" ht="58">
      <c r="A711" s="16"/>
      <c r="B711" s="18" t="s">
        <v>2073</v>
      </c>
      <c r="C711" s="17" t="s">
        <v>2074</v>
      </c>
      <c r="D711" s="17" t="s">
        <v>2099</v>
      </c>
      <c r="E711" s="17" t="s">
        <v>1913</v>
      </c>
      <c r="F711" s="19"/>
      <c r="G711" s="20">
        <v>1.0</v>
      </c>
      <c r="H711" s="21">
        <v>104.5</v>
      </c>
      <c r="I711" s="21">
        <v>104.0</v>
      </c>
      <c r="J711" s="22">
        <v>313.0</v>
      </c>
      <c r="K711" s="50"/>
      <c r="L711" s="21" t="str">
        <f>IF(K711&gt;0,K711*I711,"")</f>
      </c>
      <c r="M711" s="52"/>
      <c r="N711" t="str">
        <f>IF(K711&gt;0,COUNTIF($K$7:K711,"&gt;0"),"")</f>
      </c>
      <c r="O711" t="s">
        <v>2100</v>
      </c>
      <c r="P711" t="s">
        <v>2098</v>
      </c>
    </row>
    <row r="712" spans="1:16" customHeight="1" ht="58">
      <c r="A712" s="16"/>
      <c r="B712" s="18" t="s">
        <v>2073</v>
      </c>
      <c r="C712" s="17" t="s">
        <v>2074</v>
      </c>
      <c r="D712" s="17" t="s">
        <v>2102</v>
      </c>
      <c r="E712" s="17" t="s">
        <v>1913</v>
      </c>
      <c r="F712" s="19"/>
      <c r="G712" s="20">
        <v>1.0</v>
      </c>
      <c r="H712" s="21">
        <v>104.5</v>
      </c>
      <c r="I712" s="21">
        <v>104.0</v>
      </c>
      <c r="J712" s="22">
        <v>1040.0</v>
      </c>
      <c r="K712" s="50"/>
      <c r="L712" s="21" t="str">
        <f>IF(K712&gt;0,K712*I712,"")</f>
      </c>
      <c r="M712" s="52"/>
      <c r="N712" t="str">
        <f>IF(K712&gt;0,COUNTIF($K$7:K712,"&gt;0"),"")</f>
      </c>
      <c r="O712" t="s">
        <v>2103</v>
      </c>
      <c r="P712" t="s">
        <v>2101</v>
      </c>
    </row>
    <row r="713" spans="1:16" customHeight="1" ht="58">
      <c r="A713" s="16"/>
      <c r="B713" s="18" t="s">
        <v>2105</v>
      </c>
      <c r="C713" s="17" t="s">
        <v>2106</v>
      </c>
      <c r="D713" s="17" t="s">
        <v>1916</v>
      </c>
      <c r="E713" s="17" t="s">
        <v>1913</v>
      </c>
      <c r="F713" s="19"/>
      <c r="G713" s="20">
        <v>1.0</v>
      </c>
      <c r="H713" s="21">
        <v>104.5</v>
      </c>
      <c r="I713" s="21">
        <v>104.0</v>
      </c>
      <c r="J713" s="22">
        <v>54.0</v>
      </c>
      <c r="K713" s="50"/>
      <c r="L713" s="21" t="str">
        <f>IF(K713&gt;0,K713*I713,"")</f>
      </c>
      <c r="M713" s="52"/>
      <c r="N713" t="str">
        <f>IF(K713&gt;0,COUNTIF($K$7:K713,"&gt;0"),"")</f>
      </c>
      <c r="O713" t="s">
        <v>2107</v>
      </c>
      <c r="P713" t="s">
        <v>2104</v>
      </c>
    </row>
    <row r="714" spans="1:16" customHeight="1" ht="58">
      <c r="A714" s="16"/>
      <c r="B714" s="18" t="s">
        <v>2105</v>
      </c>
      <c r="C714" s="17" t="s">
        <v>2106</v>
      </c>
      <c r="D714" s="17" t="s">
        <v>2109</v>
      </c>
      <c r="E714" s="17" t="s">
        <v>1913</v>
      </c>
      <c r="F714" s="19"/>
      <c r="G714" s="20">
        <v>1.0</v>
      </c>
      <c r="H714" s="21">
        <v>104.5</v>
      </c>
      <c r="I714" s="21">
        <v>104.0</v>
      </c>
      <c r="J714" s="22">
        <v>8.0</v>
      </c>
      <c r="K714" s="50"/>
      <c r="L714" s="21" t="str">
        <f>IF(K714&gt;0,K714*I714,"")</f>
      </c>
      <c r="M714" s="52"/>
      <c r="N714" t="str">
        <f>IF(K714&gt;0,COUNTIF($K$7:K714,"&gt;0"),"")</f>
      </c>
      <c r="O714" t="s">
        <v>2110</v>
      </c>
      <c r="P714" t="s">
        <v>2108</v>
      </c>
    </row>
    <row r="715" spans="1:16" customHeight="1" ht="58">
      <c r="A715" s="16"/>
      <c r="B715" s="18" t="s">
        <v>2112</v>
      </c>
      <c r="C715" s="17" t="s">
        <v>2113</v>
      </c>
      <c r="D715" s="17" t="s">
        <v>2114</v>
      </c>
      <c r="E715" s="17" t="s">
        <v>1913</v>
      </c>
      <c r="F715" s="19"/>
      <c r="G715" s="20">
        <v>1.0</v>
      </c>
      <c r="H715" s="21">
        <v>132.0</v>
      </c>
      <c r="I715" s="21">
        <v>128.0</v>
      </c>
      <c r="J715" s="22">
        <v>513.0</v>
      </c>
      <c r="K715" s="50"/>
      <c r="L715" s="21" t="str">
        <f>IF(K715&gt;0,K715*I715,"")</f>
      </c>
      <c r="M715" s="52"/>
      <c r="N715" t="str">
        <f>IF(K715&gt;0,COUNTIF($K$7:K715,"&gt;0"),"")</f>
      </c>
      <c r="O715" t="s">
        <v>2115</v>
      </c>
      <c r="P715" t="s">
        <v>2111</v>
      </c>
    </row>
    <row r="716" spans="1:16" customHeight="1" ht="58">
      <c r="A716" s="16"/>
      <c r="B716" s="18" t="s">
        <v>2117</v>
      </c>
      <c r="C716" s="17" t="s">
        <v>2118</v>
      </c>
      <c r="D716" s="17" t="s">
        <v>2119</v>
      </c>
      <c r="E716" s="17" t="s">
        <v>1913</v>
      </c>
      <c r="F716" s="19"/>
      <c r="G716" s="20">
        <v>1.0</v>
      </c>
      <c r="H716" s="21">
        <v>121.0</v>
      </c>
      <c r="I716" s="21">
        <v>121.0</v>
      </c>
      <c r="J716" s="22">
        <v>133.0</v>
      </c>
      <c r="K716" s="50"/>
      <c r="L716" s="21" t="str">
        <f>IF(K716&gt;0,K716*I716,"")</f>
      </c>
      <c r="M716" s="52"/>
      <c r="N716" t="str">
        <f>IF(K716&gt;0,COUNTIF($K$7:K716,"&gt;0"),"")</f>
      </c>
      <c r="O716" t="s">
        <v>2120</v>
      </c>
      <c r="P716" t="s">
        <v>2116</v>
      </c>
    </row>
    <row r="717" spans="1:16" customHeight="1" ht="58">
      <c r="A717" s="16"/>
      <c r="B717" s="18" t="s">
        <v>2117</v>
      </c>
      <c r="C717" s="17" t="s">
        <v>2118</v>
      </c>
      <c r="D717" s="17" t="s">
        <v>2122</v>
      </c>
      <c r="E717" s="17" t="s">
        <v>1913</v>
      </c>
      <c r="F717" s="19"/>
      <c r="G717" s="20">
        <v>1.0</v>
      </c>
      <c r="H717" s="21">
        <v>121.0</v>
      </c>
      <c r="I717" s="21">
        <v>121.0</v>
      </c>
      <c r="J717" s="22">
        <v>391.0</v>
      </c>
      <c r="K717" s="50"/>
      <c r="L717" s="21" t="str">
        <f>IF(K717&gt;0,K717*I717,"")</f>
      </c>
      <c r="M717" s="52"/>
      <c r="N717" t="str">
        <f>IF(K717&gt;0,COUNTIF($K$7:K717,"&gt;0"),"")</f>
      </c>
      <c r="O717" t="s">
        <v>2123</v>
      </c>
      <c r="P717" t="s">
        <v>2121</v>
      </c>
    </row>
    <row r="718" spans="1:16" customHeight="1" ht="58">
      <c r="A718" s="16"/>
      <c r="B718" s="18" t="s">
        <v>2117</v>
      </c>
      <c r="C718" s="17" t="s">
        <v>2118</v>
      </c>
      <c r="D718" s="17" t="s">
        <v>2125</v>
      </c>
      <c r="E718" s="17" t="s">
        <v>1913</v>
      </c>
      <c r="F718" s="19"/>
      <c r="G718" s="20">
        <v>1.0</v>
      </c>
      <c r="H718" s="21">
        <v>121.0</v>
      </c>
      <c r="I718" s="21">
        <v>121.0</v>
      </c>
      <c r="J718" s="22">
        <v>456.0</v>
      </c>
      <c r="K718" s="50"/>
      <c r="L718" s="21" t="str">
        <f>IF(K718&gt;0,K718*I718,"")</f>
      </c>
      <c r="M718" s="52"/>
      <c r="N718" t="str">
        <f>IF(K718&gt;0,COUNTIF($K$7:K718,"&gt;0"),"")</f>
      </c>
      <c r="O718" t="s">
        <v>2126</v>
      </c>
      <c r="P718" t="s">
        <v>2124</v>
      </c>
    </row>
    <row r="719" spans="1:16" customHeight="1" ht="58">
      <c r="A719" s="16"/>
      <c r="B719" s="18" t="s">
        <v>2117</v>
      </c>
      <c r="C719" s="17" t="s">
        <v>2118</v>
      </c>
      <c r="D719" s="17" t="s">
        <v>2128</v>
      </c>
      <c r="E719" s="17" t="s">
        <v>1913</v>
      </c>
      <c r="F719" s="19"/>
      <c r="G719" s="20">
        <v>1.0</v>
      </c>
      <c r="H719" s="21">
        <v>121.0</v>
      </c>
      <c r="I719" s="21">
        <v>121.0</v>
      </c>
      <c r="J719" s="22">
        <v>901.0</v>
      </c>
      <c r="K719" s="50"/>
      <c r="L719" s="21" t="str">
        <f>IF(K719&gt;0,K719*I719,"")</f>
      </c>
      <c r="M719" s="52"/>
      <c r="N719" t="str">
        <f>IF(K719&gt;0,COUNTIF($K$7:K719,"&gt;0"),"")</f>
      </c>
      <c r="O719" t="s">
        <v>2129</v>
      </c>
      <c r="P719" t="s">
        <v>2127</v>
      </c>
    </row>
    <row r="720" spans="1:16" customHeight="1" ht="58">
      <c r="A720" s="16"/>
      <c r="B720" s="18" t="s">
        <v>2117</v>
      </c>
      <c r="C720" s="17" t="s">
        <v>2118</v>
      </c>
      <c r="D720" s="17" t="s">
        <v>2131</v>
      </c>
      <c r="E720" s="17" t="s">
        <v>1913</v>
      </c>
      <c r="F720" s="19"/>
      <c r="G720" s="20">
        <v>1.0</v>
      </c>
      <c r="H720" s="21">
        <v>121.0</v>
      </c>
      <c r="I720" s="21">
        <v>121.0</v>
      </c>
      <c r="J720" s="22">
        <v>745.0</v>
      </c>
      <c r="K720" s="50"/>
      <c r="L720" s="21" t="str">
        <f>IF(K720&gt;0,K720*I720,"")</f>
      </c>
      <c r="M720" s="52"/>
      <c r="N720" t="str">
        <f>IF(K720&gt;0,COUNTIF($K$7:K720,"&gt;0"),"")</f>
      </c>
      <c r="O720" t="s">
        <v>2132</v>
      </c>
      <c r="P720" t="s">
        <v>2130</v>
      </c>
    </row>
    <row r="721" spans="1:16" customHeight="1" ht="58">
      <c r="A721" s="16"/>
      <c r="B721" s="18" t="s">
        <v>2117</v>
      </c>
      <c r="C721" s="17" t="s">
        <v>2118</v>
      </c>
      <c r="D721" s="17" t="s">
        <v>2134</v>
      </c>
      <c r="E721" s="17" t="s">
        <v>1913</v>
      </c>
      <c r="F721" s="19"/>
      <c r="G721" s="20">
        <v>1.0</v>
      </c>
      <c r="H721" s="21">
        <v>121.0</v>
      </c>
      <c r="I721" s="21">
        <v>121.0</v>
      </c>
      <c r="J721" s="22">
        <v>597.0</v>
      </c>
      <c r="K721" s="50"/>
      <c r="L721" s="21" t="str">
        <f>IF(K721&gt;0,K721*I721,"")</f>
      </c>
      <c r="M721" s="52"/>
      <c r="N721" t="str">
        <f>IF(K721&gt;0,COUNTIF($K$7:K721,"&gt;0"),"")</f>
      </c>
      <c r="O721" t="s">
        <v>2135</v>
      </c>
      <c r="P721" t="s">
        <v>2133</v>
      </c>
    </row>
    <row r="722" spans="1:16" customHeight="1" ht="58">
      <c r="A722" s="16"/>
      <c r="B722" s="18" t="s">
        <v>2117</v>
      </c>
      <c r="C722" s="17" t="s">
        <v>2118</v>
      </c>
      <c r="D722" s="17" t="s">
        <v>2137</v>
      </c>
      <c r="E722" s="17" t="s">
        <v>1913</v>
      </c>
      <c r="F722" s="19"/>
      <c r="G722" s="20">
        <v>1.0</v>
      </c>
      <c r="H722" s="21">
        <v>121.0</v>
      </c>
      <c r="I722" s="21">
        <v>121.0</v>
      </c>
      <c r="J722" s="22">
        <v>588.0</v>
      </c>
      <c r="K722" s="50"/>
      <c r="L722" s="21" t="str">
        <f>IF(K722&gt;0,K722*I722,"")</f>
      </c>
      <c r="M722" s="52"/>
      <c r="N722" t="str">
        <f>IF(K722&gt;0,COUNTIF($K$7:K722,"&gt;0"),"")</f>
      </c>
      <c r="O722" t="s">
        <v>2138</v>
      </c>
      <c r="P722" t="s">
        <v>2136</v>
      </c>
    </row>
    <row r="723" spans="1:16" customHeight="1" ht="58">
      <c r="A723" s="16"/>
      <c r="B723" s="18" t="s">
        <v>2117</v>
      </c>
      <c r="C723" s="17" t="s">
        <v>2118</v>
      </c>
      <c r="D723" s="17" t="s">
        <v>1968</v>
      </c>
      <c r="E723" s="17" t="s">
        <v>1913</v>
      </c>
      <c r="F723" s="19"/>
      <c r="G723" s="20">
        <v>1.0</v>
      </c>
      <c r="H723" s="21">
        <v>121.0</v>
      </c>
      <c r="I723" s="21">
        <v>121.0</v>
      </c>
      <c r="J723" s="22">
        <v>884.0</v>
      </c>
      <c r="K723" s="50"/>
      <c r="L723" s="21" t="str">
        <f>IF(K723&gt;0,K723*I723,"")</f>
      </c>
      <c r="M723" s="52"/>
      <c r="N723" t="str">
        <f>IF(K723&gt;0,COUNTIF($K$7:K723,"&gt;0"),"")</f>
      </c>
      <c r="O723" t="s">
        <v>2140</v>
      </c>
      <c r="P723" t="s">
        <v>2139</v>
      </c>
    </row>
    <row r="724" spans="1:16" customHeight="1" ht="58">
      <c r="A724" s="16"/>
      <c r="B724" s="18" t="s">
        <v>2117</v>
      </c>
      <c r="C724" s="17" t="s">
        <v>2118</v>
      </c>
      <c r="D724" s="17" t="s">
        <v>1943</v>
      </c>
      <c r="E724" s="17" t="s">
        <v>1913</v>
      </c>
      <c r="F724" s="19"/>
      <c r="G724" s="20">
        <v>1.0</v>
      </c>
      <c r="H724" s="21">
        <v>121.0</v>
      </c>
      <c r="I724" s="21">
        <v>121.0</v>
      </c>
      <c r="J724" s="22">
        <v>57.0</v>
      </c>
      <c r="K724" s="50"/>
      <c r="L724" s="21" t="str">
        <f>IF(K724&gt;0,K724*I724,"")</f>
      </c>
      <c r="M724" s="52"/>
      <c r="N724" t="str">
        <f>IF(K724&gt;0,COUNTIF($K$7:K724,"&gt;0"),"")</f>
      </c>
      <c r="O724" t="s">
        <v>2142</v>
      </c>
      <c r="P724" t="s">
        <v>2141</v>
      </c>
    </row>
    <row r="725" spans="1:16" customHeight="1" ht="58">
      <c r="A725" s="16"/>
      <c r="B725" s="18" t="s">
        <v>2144</v>
      </c>
      <c r="C725" s="17" t="s">
        <v>2145</v>
      </c>
      <c r="D725" s="17" t="s">
        <v>2146</v>
      </c>
      <c r="E725" s="17" t="s">
        <v>1913</v>
      </c>
      <c r="F725" s="19"/>
      <c r="G725" s="20">
        <v>1.0</v>
      </c>
      <c r="H725" s="21">
        <v>154.0</v>
      </c>
      <c r="I725" s="21">
        <v>154.0</v>
      </c>
      <c r="J725" s="22">
        <v>596.0</v>
      </c>
      <c r="K725" s="50"/>
      <c r="L725" s="21" t="str">
        <f>IF(K725&gt;0,K725*I725,"")</f>
      </c>
      <c r="M725" s="52"/>
      <c r="N725" t="str">
        <f>IF(K725&gt;0,COUNTIF($K$7:K725,"&gt;0"),"")</f>
      </c>
      <c r="O725" t="s">
        <v>2147</v>
      </c>
      <c r="P725" t="s">
        <v>2143</v>
      </c>
    </row>
    <row r="726" spans="1:16" customHeight="1" ht="58">
      <c r="A726" s="16"/>
      <c r="B726" s="18" t="s">
        <v>2144</v>
      </c>
      <c r="C726" s="17" t="s">
        <v>2145</v>
      </c>
      <c r="D726" s="17" t="s">
        <v>2128</v>
      </c>
      <c r="E726" s="17" t="s">
        <v>1913</v>
      </c>
      <c r="F726" s="19"/>
      <c r="G726" s="20">
        <v>1.0</v>
      </c>
      <c r="H726" s="21">
        <v>154.0</v>
      </c>
      <c r="I726" s="21">
        <v>154.0</v>
      </c>
      <c r="J726" s="22">
        <v>138.0</v>
      </c>
      <c r="K726" s="50"/>
      <c r="L726" s="21" t="str">
        <f>IF(K726&gt;0,K726*I726,"")</f>
      </c>
      <c r="M726" s="52"/>
      <c r="N726" t="str">
        <f>IF(K726&gt;0,COUNTIF($K$7:K726,"&gt;0"),"")</f>
      </c>
      <c r="O726" t="s">
        <v>2149</v>
      </c>
      <c r="P726" t="s">
        <v>2148</v>
      </c>
    </row>
    <row r="727" spans="1:16" customHeight="1" ht="58">
      <c r="A727" s="16"/>
      <c r="B727" s="18" t="s">
        <v>2144</v>
      </c>
      <c r="C727" s="17" t="s">
        <v>2145</v>
      </c>
      <c r="D727" s="17" t="s">
        <v>2131</v>
      </c>
      <c r="E727" s="17" t="s">
        <v>1913</v>
      </c>
      <c r="F727" s="19"/>
      <c r="G727" s="20">
        <v>1.0</v>
      </c>
      <c r="H727" s="21">
        <v>154.0</v>
      </c>
      <c r="I727" s="21">
        <v>154.0</v>
      </c>
      <c r="J727" s="22">
        <v>222.0</v>
      </c>
      <c r="K727" s="50"/>
      <c r="L727" s="21" t="str">
        <f>IF(K727&gt;0,K727*I727,"")</f>
      </c>
      <c r="M727" s="52"/>
      <c r="N727" t="str">
        <f>IF(K727&gt;0,COUNTIF($K$7:K727,"&gt;0"),"")</f>
      </c>
      <c r="O727" t="s">
        <v>2151</v>
      </c>
      <c r="P727" t="s">
        <v>2150</v>
      </c>
    </row>
    <row r="728" spans="1:16" customHeight="1" ht="58">
      <c r="A728" s="16"/>
      <c r="B728" s="18" t="s">
        <v>2144</v>
      </c>
      <c r="C728" s="17" t="s">
        <v>2145</v>
      </c>
      <c r="D728" s="17" t="s">
        <v>1968</v>
      </c>
      <c r="E728" s="17" t="s">
        <v>1913</v>
      </c>
      <c r="F728" s="19"/>
      <c r="G728" s="20">
        <v>1.0</v>
      </c>
      <c r="H728" s="21">
        <v>154.0</v>
      </c>
      <c r="I728" s="21">
        <v>154.0</v>
      </c>
      <c r="J728" s="22">
        <v>215.0</v>
      </c>
      <c r="K728" s="50"/>
      <c r="L728" s="21" t="str">
        <f>IF(K728&gt;0,K728*I728,"")</f>
      </c>
      <c r="M728" s="52"/>
      <c r="N728" t="str">
        <f>IF(K728&gt;0,COUNTIF($K$7:K728,"&gt;0"),"")</f>
      </c>
      <c r="O728" t="s">
        <v>2153</v>
      </c>
      <c r="P728" t="s">
        <v>2152</v>
      </c>
    </row>
    <row r="729" spans="1:16" customHeight="1" ht="58">
      <c r="A729" s="16"/>
      <c r="B729" s="18" t="s">
        <v>2155</v>
      </c>
      <c r="C729" s="17" t="s">
        <v>2156</v>
      </c>
      <c r="D729" s="17" t="s">
        <v>2157</v>
      </c>
      <c r="E729" s="17" t="s">
        <v>1913</v>
      </c>
      <c r="F729" s="19"/>
      <c r="G729" s="20">
        <v>1.0</v>
      </c>
      <c r="H729" s="21">
        <v>104.5</v>
      </c>
      <c r="I729" s="21">
        <v>104.0</v>
      </c>
      <c r="J729" s="22">
        <v>3.0</v>
      </c>
      <c r="K729" s="50"/>
      <c r="L729" s="21" t="str">
        <f>IF(K729&gt;0,K729*I729,"")</f>
      </c>
      <c r="M729" s="52"/>
      <c r="N729" t="str">
        <f>IF(K729&gt;0,COUNTIF($K$7:K729,"&gt;0"),"")</f>
      </c>
      <c r="O729" t="s">
        <v>2158</v>
      </c>
      <c r="P729" t="s">
        <v>2154</v>
      </c>
    </row>
    <row r="730" spans="1:16" customHeight="1" ht="58">
      <c r="A730" s="16"/>
      <c r="B730" s="18" t="s">
        <v>2155</v>
      </c>
      <c r="C730" s="17" t="s">
        <v>2156</v>
      </c>
      <c r="D730" s="17" t="s">
        <v>2160</v>
      </c>
      <c r="E730" s="17" t="s">
        <v>1913</v>
      </c>
      <c r="F730" s="19"/>
      <c r="G730" s="20">
        <v>1.0</v>
      </c>
      <c r="H730" s="21">
        <v>104.5</v>
      </c>
      <c r="I730" s="21">
        <v>104.0</v>
      </c>
      <c r="J730" s="22">
        <v>628.0</v>
      </c>
      <c r="K730" s="50"/>
      <c r="L730" s="21" t="str">
        <f>IF(K730&gt;0,K730*I730,"")</f>
      </c>
      <c r="M730" s="52"/>
      <c r="N730" t="str">
        <f>IF(K730&gt;0,COUNTIF($K$7:K730,"&gt;0"),"")</f>
      </c>
      <c r="O730" t="s">
        <v>2161</v>
      </c>
      <c r="P730" t="s">
        <v>2159</v>
      </c>
    </row>
    <row r="731" spans="1:16" customHeight="1" ht="58">
      <c r="A731" s="16"/>
      <c r="B731" s="18" t="s">
        <v>2155</v>
      </c>
      <c r="C731" s="17" t="s">
        <v>2156</v>
      </c>
      <c r="D731" s="17" t="s">
        <v>2163</v>
      </c>
      <c r="E731" s="17" t="s">
        <v>1913</v>
      </c>
      <c r="F731" s="19"/>
      <c r="G731" s="20">
        <v>1.0</v>
      </c>
      <c r="H731" s="21">
        <v>104.5</v>
      </c>
      <c r="I731" s="21">
        <v>104.0</v>
      </c>
      <c r="J731" s="22">
        <v>47.0</v>
      </c>
      <c r="K731" s="50"/>
      <c r="L731" s="21" t="str">
        <f>IF(K731&gt;0,K731*I731,"")</f>
      </c>
      <c r="M731" s="52"/>
      <c r="N731" t="str">
        <f>IF(K731&gt;0,COUNTIF($K$7:K731,"&gt;0"),"")</f>
      </c>
      <c r="O731" t="s">
        <v>2164</v>
      </c>
      <c r="P731" t="s">
        <v>2162</v>
      </c>
    </row>
    <row r="732" spans="1:16" customHeight="1" ht="58">
      <c r="A732" s="16"/>
      <c r="B732" s="18" t="s">
        <v>2155</v>
      </c>
      <c r="C732" s="17" t="s">
        <v>2156</v>
      </c>
      <c r="D732" s="17" t="s">
        <v>2166</v>
      </c>
      <c r="E732" s="17" t="s">
        <v>1913</v>
      </c>
      <c r="F732" s="19"/>
      <c r="G732" s="20">
        <v>1.0</v>
      </c>
      <c r="H732" s="21">
        <v>104.5</v>
      </c>
      <c r="I732" s="21">
        <v>104.0</v>
      </c>
      <c r="J732" s="22">
        <v>365.0</v>
      </c>
      <c r="K732" s="50"/>
      <c r="L732" s="21" t="str">
        <f>IF(K732&gt;0,K732*I732,"")</f>
      </c>
      <c r="M732" s="52"/>
      <c r="N732" t="str">
        <f>IF(K732&gt;0,COUNTIF($K$7:K732,"&gt;0"),"")</f>
      </c>
      <c r="O732" t="s">
        <v>2167</v>
      </c>
      <c r="P732" t="s">
        <v>2165</v>
      </c>
    </row>
    <row r="733" spans="1:16" customHeight="1" ht="58">
      <c r="A733" s="16"/>
      <c r="B733" s="18" t="s">
        <v>2169</v>
      </c>
      <c r="C733" s="17" t="s">
        <v>1893</v>
      </c>
      <c r="D733" s="17" t="s">
        <v>2170</v>
      </c>
      <c r="E733" s="17" t="s">
        <v>1913</v>
      </c>
      <c r="F733" s="19"/>
      <c r="G733" s="20">
        <v>1.0</v>
      </c>
      <c r="H733" s="21">
        <v>220.0</v>
      </c>
      <c r="I733" s="21">
        <v>215.0</v>
      </c>
      <c r="J733" s="22">
        <v>60.0</v>
      </c>
      <c r="K733" s="50"/>
      <c r="L733" s="21" t="str">
        <f>IF(K733&gt;0,K733*I733,"")</f>
      </c>
      <c r="M733" s="52"/>
      <c r="N733" t="str">
        <f>IF(K733&gt;0,COUNTIF($K$7:K733,"&gt;0"),"")</f>
      </c>
      <c r="P733" t="s">
        <v>2168</v>
      </c>
    </row>
    <row r="734" spans="1:16" customHeight="1" ht="58">
      <c r="A734" s="16"/>
      <c r="B734" s="18" t="s">
        <v>2172</v>
      </c>
      <c r="C734" s="17" t="s">
        <v>2173</v>
      </c>
      <c r="D734" s="17" t="s">
        <v>2174</v>
      </c>
      <c r="E734" s="17" t="s">
        <v>2175</v>
      </c>
      <c r="F734" s="19"/>
      <c r="G734" s="20">
        <v>1.0</v>
      </c>
      <c r="H734" s="21">
        <v>198.0</v>
      </c>
      <c r="I734" s="21">
        <v>128.0</v>
      </c>
      <c r="J734" s="22">
        <v>54.0</v>
      </c>
      <c r="K734" s="50"/>
      <c r="L734" s="21" t="str">
        <f>IF(K734&gt;0,K734*I734,"")</f>
      </c>
      <c r="M734" s="52"/>
      <c r="N734" t="str">
        <f>IF(K734&gt;0,COUNTIF($K$7:K734,"&gt;0"),"")</f>
      </c>
      <c r="O734" t="s">
        <v>2176</v>
      </c>
      <c r="P734" t="s">
        <v>2171</v>
      </c>
    </row>
    <row r="735" spans="1:16" customHeight="1" ht="58">
      <c r="A735" s="16"/>
      <c r="B735" s="18" t="s">
        <v>2172</v>
      </c>
      <c r="C735" s="17" t="s">
        <v>2173</v>
      </c>
      <c r="D735" s="17" t="s">
        <v>2178</v>
      </c>
      <c r="E735" s="17" t="s">
        <v>2175</v>
      </c>
      <c r="F735" s="19"/>
      <c r="G735" s="20">
        <v>1.0</v>
      </c>
      <c r="H735" s="21">
        <v>198.0</v>
      </c>
      <c r="I735" s="21">
        <v>128.0</v>
      </c>
      <c r="J735" s="22">
        <v>312.0</v>
      </c>
      <c r="K735" s="50"/>
      <c r="L735" s="21" t="str">
        <f>IF(K735&gt;0,K735*I735,"")</f>
      </c>
      <c r="M735" s="52"/>
      <c r="N735" t="str">
        <f>IF(K735&gt;0,COUNTIF($K$7:K735,"&gt;0"),"")</f>
      </c>
      <c r="O735" t="s">
        <v>2179</v>
      </c>
      <c r="P735" t="s">
        <v>2177</v>
      </c>
    </row>
    <row r="736" spans="1:16" customHeight="1" ht="58">
      <c r="A736" s="16"/>
      <c r="B736" s="18" t="s">
        <v>2181</v>
      </c>
      <c r="C736" s="17" t="s">
        <v>1478</v>
      </c>
      <c r="D736" s="17" t="s">
        <v>1161</v>
      </c>
      <c r="E736" s="17" t="s">
        <v>2182</v>
      </c>
      <c r="F736" s="19"/>
      <c r="G736" s="20">
        <v>1.0</v>
      </c>
      <c r="H736" s="21">
        <v>401.5</v>
      </c>
      <c r="I736" s="21">
        <v>251.0</v>
      </c>
      <c r="J736" s="22">
        <v>71.0</v>
      </c>
      <c r="K736" s="50"/>
      <c r="L736" s="21" t="str">
        <f>IF(K736&gt;0,K736*I736,"")</f>
      </c>
      <c r="M736" s="52"/>
      <c r="N736" t="str">
        <f>IF(K736&gt;0,COUNTIF($K$7:K736,"&gt;0"),"")</f>
      </c>
      <c r="O736" t="s">
        <v>2183</v>
      </c>
      <c r="P736" t="s">
        <v>2180</v>
      </c>
    </row>
    <row r="737" spans="1:16" customHeight="1" ht="58">
      <c r="A737" s="16"/>
      <c r="B737" s="18" t="s">
        <v>2181</v>
      </c>
      <c r="C737" s="17" t="s">
        <v>1478</v>
      </c>
      <c r="D737" s="17" t="s">
        <v>2185</v>
      </c>
      <c r="E737" s="17" t="s">
        <v>2182</v>
      </c>
      <c r="F737" s="19"/>
      <c r="G737" s="20">
        <v>1.0</v>
      </c>
      <c r="H737" s="21">
        <v>401.5</v>
      </c>
      <c r="I737" s="21">
        <v>251.0</v>
      </c>
      <c r="J737" s="22">
        <v>70.0</v>
      </c>
      <c r="K737" s="50"/>
      <c r="L737" s="21" t="str">
        <f>IF(K737&gt;0,K737*I737,"")</f>
      </c>
      <c r="M737" s="52"/>
      <c r="N737" t="str">
        <f>IF(K737&gt;0,COUNTIF($K$7:K737,"&gt;0"),"")</f>
      </c>
      <c r="O737" t="s">
        <v>2186</v>
      </c>
      <c r="P737" t="s">
        <v>2184</v>
      </c>
    </row>
    <row r="738" spans="1:16" customHeight="1" ht="58">
      <c r="A738" s="16"/>
      <c r="B738" s="18" t="s">
        <v>2181</v>
      </c>
      <c r="C738" s="17" t="s">
        <v>1478</v>
      </c>
      <c r="D738" s="17" t="s">
        <v>1176</v>
      </c>
      <c r="E738" s="17" t="s">
        <v>2182</v>
      </c>
      <c r="F738" s="19"/>
      <c r="G738" s="20">
        <v>1.0</v>
      </c>
      <c r="H738" s="21">
        <v>401.5</v>
      </c>
      <c r="I738" s="21">
        <v>251.0</v>
      </c>
      <c r="J738" s="22">
        <v>24.0</v>
      </c>
      <c r="K738" s="50"/>
      <c r="L738" s="21" t="str">
        <f>IF(K738&gt;0,K738*I738,"")</f>
      </c>
      <c r="M738" s="52"/>
      <c r="N738" t="str">
        <f>IF(K738&gt;0,COUNTIF($K$7:K738,"&gt;0"),"")</f>
      </c>
      <c r="O738" t="s">
        <v>2188</v>
      </c>
      <c r="P738" t="s">
        <v>2187</v>
      </c>
    </row>
    <row r="739" spans="1:16" customHeight="1" ht="58">
      <c r="A739" s="16"/>
      <c r="B739" s="18" t="s">
        <v>2181</v>
      </c>
      <c r="C739" s="17" t="s">
        <v>1478</v>
      </c>
      <c r="D739" s="17" t="s">
        <v>136</v>
      </c>
      <c r="E739" s="17" t="s">
        <v>2182</v>
      </c>
      <c r="F739" s="19"/>
      <c r="G739" s="20">
        <v>1.0</v>
      </c>
      <c r="H739" s="21">
        <v>401.5</v>
      </c>
      <c r="I739" s="21">
        <v>251.0</v>
      </c>
      <c r="J739" s="22">
        <v>160.0</v>
      </c>
      <c r="K739" s="50"/>
      <c r="L739" s="21" t="str">
        <f>IF(K739&gt;0,K739*I739,"")</f>
      </c>
      <c r="M739" s="52"/>
      <c r="N739" t="str">
        <f>IF(K739&gt;0,COUNTIF($K$7:K739,"&gt;0"),"")</f>
      </c>
      <c r="O739" t="s">
        <v>2190</v>
      </c>
      <c r="P739" t="s">
        <v>2189</v>
      </c>
    </row>
    <row r="740" spans="1:16" customHeight="1" ht="58">
      <c r="A740" s="16"/>
      <c r="B740" s="18" t="s">
        <v>2181</v>
      </c>
      <c r="C740" s="17" t="s">
        <v>1478</v>
      </c>
      <c r="D740" s="17" t="s">
        <v>1167</v>
      </c>
      <c r="E740" s="17" t="s">
        <v>2182</v>
      </c>
      <c r="F740" s="19"/>
      <c r="G740" s="20">
        <v>1.0</v>
      </c>
      <c r="H740" s="21">
        <v>401.5</v>
      </c>
      <c r="I740" s="21">
        <v>251.0</v>
      </c>
      <c r="J740" s="22">
        <v>56.0</v>
      </c>
      <c r="K740" s="50"/>
      <c r="L740" s="21" t="str">
        <f>IF(K740&gt;0,K740*I740,"")</f>
      </c>
      <c r="M740" s="52"/>
      <c r="N740" t="str">
        <f>IF(K740&gt;0,COUNTIF($K$7:K740,"&gt;0"),"")</f>
      </c>
      <c r="O740" t="s">
        <v>2192</v>
      </c>
      <c r="P740" t="s">
        <v>2191</v>
      </c>
    </row>
    <row r="741" spans="1:16" customHeight="1" ht="58">
      <c r="A741" s="16"/>
      <c r="B741" s="18" t="s">
        <v>2181</v>
      </c>
      <c r="C741" s="17" t="s">
        <v>1478</v>
      </c>
      <c r="D741" s="17" t="s">
        <v>1096</v>
      </c>
      <c r="E741" s="17" t="s">
        <v>2182</v>
      </c>
      <c r="F741" s="19"/>
      <c r="G741" s="20">
        <v>1.0</v>
      </c>
      <c r="H741" s="21">
        <v>401.5</v>
      </c>
      <c r="I741" s="21">
        <v>251.0</v>
      </c>
      <c r="J741" s="22">
        <v>78.0</v>
      </c>
      <c r="K741" s="50"/>
      <c r="L741" s="21" t="str">
        <f>IF(K741&gt;0,K741*I741,"")</f>
      </c>
      <c r="M741" s="52"/>
      <c r="N741" t="str">
        <f>IF(K741&gt;0,COUNTIF($K$7:K741,"&gt;0"),"")</f>
      </c>
      <c r="O741" t="s">
        <v>2194</v>
      </c>
      <c r="P741" t="s">
        <v>2193</v>
      </c>
    </row>
    <row r="742" spans="1:16" customHeight="1" ht="58">
      <c r="A742" s="16"/>
      <c r="B742" s="18" t="s">
        <v>2181</v>
      </c>
      <c r="C742" s="17" t="s">
        <v>1478</v>
      </c>
      <c r="D742" s="17" t="s">
        <v>1493</v>
      </c>
      <c r="E742" s="17" t="s">
        <v>2182</v>
      </c>
      <c r="F742" s="19"/>
      <c r="G742" s="20">
        <v>1.0</v>
      </c>
      <c r="H742" s="21">
        <v>401.5</v>
      </c>
      <c r="I742" s="21">
        <v>251.0</v>
      </c>
      <c r="J742" s="22">
        <v>96.0</v>
      </c>
      <c r="K742" s="50"/>
      <c r="L742" s="21" t="str">
        <f>IF(K742&gt;0,K742*I742,"")</f>
      </c>
      <c r="M742" s="52"/>
      <c r="N742" t="str">
        <f>IF(K742&gt;0,COUNTIF($K$7:K742,"&gt;0"),"")</f>
      </c>
      <c r="O742" t="s">
        <v>2196</v>
      </c>
      <c r="P742" t="s">
        <v>2195</v>
      </c>
    </row>
    <row r="743" spans="1:16" customHeight="1" ht="58">
      <c r="A743" s="16"/>
      <c r="B743" s="18" t="s">
        <v>2181</v>
      </c>
      <c r="C743" s="17" t="s">
        <v>1478</v>
      </c>
      <c r="D743" s="17" t="s">
        <v>1149</v>
      </c>
      <c r="E743" s="17" t="s">
        <v>2182</v>
      </c>
      <c r="F743" s="19"/>
      <c r="G743" s="20">
        <v>1.0</v>
      </c>
      <c r="H743" s="21">
        <v>401.5</v>
      </c>
      <c r="I743" s="21">
        <v>251.0</v>
      </c>
      <c r="J743" s="22">
        <v>10.0</v>
      </c>
      <c r="K743" s="50"/>
      <c r="L743" s="21" t="str">
        <f>IF(K743&gt;0,K743*I743,"")</f>
      </c>
      <c r="M743" s="52"/>
      <c r="N743" t="str">
        <f>IF(K743&gt;0,COUNTIF($K$7:K743,"&gt;0"),"")</f>
      </c>
      <c r="O743" t="s">
        <v>2198</v>
      </c>
      <c r="P743" t="s">
        <v>2197</v>
      </c>
    </row>
    <row r="744" spans="1:16" customHeight="1" ht="58">
      <c r="A744" s="16"/>
      <c r="B744" s="18" t="s">
        <v>2181</v>
      </c>
      <c r="C744" s="17" t="s">
        <v>1478</v>
      </c>
      <c r="D744" s="17" t="s">
        <v>1770</v>
      </c>
      <c r="E744" s="17" t="s">
        <v>2182</v>
      </c>
      <c r="F744" s="19"/>
      <c r="G744" s="20">
        <v>1.0</v>
      </c>
      <c r="H744" s="21">
        <v>401.5</v>
      </c>
      <c r="I744" s="21">
        <v>251.0</v>
      </c>
      <c r="J744" s="22">
        <v>35.0</v>
      </c>
      <c r="K744" s="50"/>
      <c r="L744" s="21" t="str">
        <f>IF(K744&gt;0,K744*I744,"")</f>
      </c>
      <c r="M744" s="52"/>
      <c r="N744" t="str">
        <f>IF(K744&gt;0,COUNTIF($K$7:K744,"&gt;0"),"")</f>
      </c>
      <c r="O744" t="s">
        <v>2200</v>
      </c>
      <c r="P744" t="s">
        <v>2199</v>
      </c>
    </row>
    <row r="745" spans="1:16" customHeight="1" ht="58">
      <c r="A745" s="16"/>
      <c r="B745" s="18" t="s">
        <v>2181</v>
      </c>
      <c r="C745" s="17" t="s">
        <v>1478</v>
      </c>
      <c r="D745" s="17" t="s">
        <v>858</v>
      </c>
      <c r="E745" s="17" t="s">
        <v>2182</v>
      </c>
      <c r="F745" s="19"/>
      <c r="G745" s="20">
        <v>1.0</v>
      </c>
      <c r="H745" s="21">
        <v>401.5</v>
      </c>
      <c r="I745" s="21">
        <v>251.0</v>
      </c>
      <c r="J745" s="22">
        <v>123.0</v>
      </c>
      <c r="K745" s="50"/>
      <c r="L745" s="21" t="str">
        <f>IF(K745&gt;0,K745*I745,"")</f>
      </c>
      <c r="M745" s="52"/>
      <c r="N745" t="str">
        <f>IF(K745&gt;0,COUNTIF($K$7:K745,"&gt;0"),"")</f>
      </c>
      <c r="O745" t="s">
        <v>2202</v>
      </c>
      <c r="P745" t="s">
        <v>2201</v>
      </c>
    </row>
    <row r="746" spans="1:16" customHeight="1" ht="58">
      <c r="A746" s="16"/>
      <c r="B746" s="18" t="s">
        <v>2181</v>
      </c>
      <c r="C746" s="17" t="s">
        <v>1478</v>
      </c>
      <c r="D746" s="17" t="s">
        <v>1179</v>
      </c>
      <c r="E746" s="17" t="s">
        <v>2182</v>
      </c>
      <c r="F746" s="19"/>
      <c r="G746" s="20">
        <v>1.0</v>
      </c>
      <c r="H746" s="21">
        <v>401.5</v>
      </c>
      <c r="I746" s="21">
        <v>251.0</v>
      </c>
      <c r="J746" s="22">
        <v>28.0</v>
      </c>
      <c r="K746" s="50"/>
      <c r="L746" s="21" t="str">
        <f>IF(K746&gt;0,K746*I746,"")</f>
      </c>
      <c r="M746" s="52"/>
      <c r="N746" t="str">
        <f>IF(K746&gt;0,COUNTIF($K$7:K746,"&gt;0"),"")</f>
      </c>
      <c r="O746" t="s">
        <v>2204</v>
      </c>
      <c r="P746" t="s">
        <v>2203</v>
      </c>
    </row>
    <row r="747" spans="1:16" customHeight="1" ht="24">
      <c r="A747" s="23" t="s">
        <v>2205</v>
      </c>
      <c r="B747" s="24"/>
      <c r="C747" s="25"/>
      <c r="D747" s="25"/>
      <c r="E747" s="25"/>
      <c r="F747" s="26"/>
      <c r="G747" s="27"/>
      <c r="H747" s="28"/>
      <c r="I747" s="28"/>
      <c r="J747" s="29"/>
      <c r="K747" s="49"/>
      <c r="L747" s="28"/>
      <c r="M747" s="51"/>
      <c r="N747" t="str">
        <f>IF(K747&gt;0,COUNTIF($K$7:K747,"&gt;0"),"")</f>
      </c>
    </row>
    <row r="748" spans="1:16" customHeight="1" ht="58">
      <c r="A748" s="16"/>
      <c r="B748" s="18" t="s">
        <v>2207</v>
      </c>
      <c r="C748" s="17" t="s">
        <v>2208</v>
      </c>
      <c r="D748" s="17" t="s">
        <v>2209</v>
      </c>
      <c r="E748" s="17" t="s">
        <v>2210</v>
      </c>
      <c r="F748" s="19"/>
      <c r="G748" s="20">
        <v>1.0</v>
      </c>
      <c r="H748" s="21">
        <v>121.0</v>
      </c>
      <c r="I748" s="21">
        <v>121.0</v>
      </c>
      <c r="J748" s="22">
        <v>221.0</v>
      </c>
      <c r="K748" s="50"/>
      <c r="L748" s="21" t="str">
        <f>IF(K748&gt;0,K748*I748,"")</f>
      </c>
      <c r="M748" s="52"/>
      <c r="N748" t="str">
        <f>IF(K748&gt;0,COUNTIF($K$7:K748,"&gt;0"),"")</f>
      </c>
      <c r="O748" t="s">
        <v>2211</v>
      </c>
      <c r="P748" t="s">
        <v>2206</v>
      </c>
    </row>
    <row r="749" spans="1:16" customHeight="1" ht="58">
      <c r="A749" s="16"/>
      <c r="B749" s="18" t="s">
        <v>2207</v>
      </c>
      <c r="C749" s="17" t="s">
        <v>2208</v>
      </c>
      <c r="D749" s="17" t="s">
        <v>2213</v>
      </c>
      <c r="E749" s="17" t="s">
        <v>2210</v>
      </c>
      <c r="F749" s="19"/>
      <c r="G749" s="20">
        <v>1.0</v>
      </c>
      <c r="H749" s="21">
        <v>121.0</v>
      </c>
      <c r="I749" s="21">
        <v>121.0</v>
      </c>
      <c r="J749" s="22">
        <v>26.0</v>
      </c>
      <c r="K749" s="50"/>
      <c r="L749" s="21" t="str">
        <f>IF(K749&gt;0,K749*I749,"")</f>
      </c>
      <c r="M749" s="52"/>
      <c r="N749" t="str">
        <f>IF(K749&gt;0,COUNTIF($K$7:K749,"&gt;0"),"")</f>
      </c>
      <c r="O749" t="s">
        <v>2214</v>
      </c>
      <c r="P749" t="s">
        <v>2212</v>
      </c>
    </row>
    <row r="750" spans="1:16" customHeight="1" ht="58">
      <c r="A750" s="16"/>
      <c r="B750" s="18" t="s">
        <v>2207</v>
      </c>
      <c r="C750" s="17" t="s">
        <v>2208</v>
      </c>
      <c r="D750" s="17" t="s">
        <v>2216</v>
      </c>
      <c r="E750" s="17" t="s">
        <v>2210</v>
      </c>
      <c r="F750" s="19"/>
      <c r="G750" s="20">
        <v>1.0</v>
      </c>
      <c r="H750" s="21">
        <v>121.0</v>
      </c>
      <c r="I750" s="21">
        <v>121.0</v>
      </c>
      <c r="J750" s="22">
        <v>38.0</v>
      </c>
      <c r="K750" s="50"/>
      <c r="L750" s="21" t="str">
        <f>IF(K750&gt;0,K750*I750,"")</f>
      </c>
      <c r="M750" s="52"/>
      <c r="N750" t="str">
        <f>IF(K750&gt;0,COUNTIF($K$7:K750,"&gt;0"),"")</f>
      </c>
      <c r="O750" t="s">
        <v>2217</v>
      </c>
      <c r="P750" t="s">
        <v>2215</v>
      </c>
    </row>
    <row r="751" spans="1:16" customHeight="1" ht="58">
      <c r="A751" s="16"/>
      <c r="B751" s="18" t="s">
        <v>2207</v>
      </c>
      <c r="C751" s="17" t="s">
        <v>2208</v>
      </c>
      <c r="D751" s="17" t="s">
        <v>2219</v>
      </c>
      <c r="E751" s="17" t="s">
        <v>2210</v>
      </c>
      <c r="F751" s="19"/>
      <c r="G751" s="20">
        <v>1.0</v>
      </c>
      <c r="H751" s="21">
        <v>121.0</v>
      </c>
      <c r="I751" s="21">
        <v>121.0</v>
      </c>
      <c r="J751" s="22">
        <v>168.0</v>
      </c>
      <c r="K751" s="50"/>
      <c r="L751" s="21" t="str">
        <f>IF(K751&gt;0,K751*I751,"")</f>
      </c>
      <c r="M751" s="52"/>
      <c r="N751" t="str">
        <f>IF(K751&gt;0,COUNTIF($K$7:K751,"&gt;0"),"")</f>
      </c>
      <c r="O751" t="s">
        <v>2220</v>
      </c>
      <c r="P751" t="s">
        <v>2218</v>
      </c>
    </row>
    <row r="752" spans="1:16" customHeight="1" ht="58">
      <c r="A752" s="16"/>
      <c r="B752" s="18" t="s">
        <v>2207</v>
      </c>
      <c r="C752" s="17" t="s">
        <v>2208</v>
      </c>
      <c r="D752" s="17" t="s">
        <v>2222</v>
      </c>
      <c r="E752" s="17" t="s">
        <v>2210</v>
      </c>
      <c r="F752" s="19"/>
      <c r="G752" s="20">
        <v>1.0</v>
      </c>
      <c r="H752" s="21">
        <v>121.0</v>
      </c>
      <c r="I752" s="21">
        <v>121.0</v>
      </c>
      <c r="J752" s="22">
        <v>225.0</v>
      </c>
      <c r="K752" s="50"/>
      <c r="L752" s="21" t="str">
        <f>IF(K752&gt;0,K752*I752,"")</f>
      </c>
      <c r="M752" s="52"/>
      <c r="N752" t="str">
        <f>IF(K752&gt;0,COUNTIF($K$7:K752,"&gt;0"),"")</f>
      </c>
      <c r="O752" t="s">
        <v>2223</v>
      </c>
      <c r="P752" t="s">
        <v>2221</v>
      </c>
    </row>
    <row r="753" spans="1:16" customHeight="1" ht="58">
      <c r="A753" s="16"/>
      <c r="B753" s="18" t="s">
        <v>2207</v>
      </c>
      <c r="C753" s="17" t="s">
        <v>2208</v>
      </c>
      <c r="D753" s="17" t="s">
        <v>2225</v>
      </c>
      <c r="E753" s="17" t="s">
        <v>2210</v>
      </c>
      <c r="F753" s="19"/>
      <c r="G753" s="20">
        <v>1.0</v>
      </c>
      <c r="H753" s="21">
        <v>121.0</v>
      </c>
      <c r="I753" s="21">
        <v>121.0</v>
      </c>
      <c r="J753" s="22">
        <v>214.0</v>
      </c>
      <c r="K753" s="50"/>
      <c r="L753" s="21" t="str">
        <f>IF(K753&gt;0,K753*I753,"")</f>
      </c>
      <c r="M753" s="52"/>
      <c r="N753" t="str">
        <f>IF(K753&gt;0,COUNTIF($K$7:K753,"&gt;0"),"")</f>
      </c>
      <c r="O753" t="s">
        <v>2226</v>
      </c>
      <c r="P753" t="s">
        <v>2224</v>
      </c>
    </row>
    <row r="754" spans="1:16" customHeight="1" ht="58">
      <c r="A754" s="16"/>
      <c r="B754" s="18" t="s">
        <v>2207</v>
      </c>
      <c r="C754" s="17" t="s">
        <v>2208</v>
      </c>
      <c r="D754" s="17" t="s">
        <v>2228</v>
      </c>
      <c r="E754" s="17" t="s">
        <v>2210</v>
      </c>
      <c r="F754" s="19"/>
      <c r="G754" s="20">
        <v>1.0</v>
      </c>
      <c r="H754" s="21">
        <v>121.0</v>
      </c>
      <c r="I754" s="21">
        <v>121.0</v>
      </c>
      <c r="J754" s="22">
        <v>402.0</v>
      </c>
      <c r="K754" s="50"/>
      <c r="L754" s="21" t="str">
        <f>IF(K754&gt;0,K754*I754,"")</f>
      </c>
      <c r="M754" s="52"/>
      <c r="N754" t="str">
        <f>IF(K754&gt;0,COUNTIF($K$7:K754,"&gt;0"),"")</f>
      </c>
      <c r="O754" t="s">
        <v>2229</v>
      </c>
      <c r="P754" t="s">
        <v>2227</v>
      </c>
    </row>
    <row r="755" spans="1:16" customHeight="1" ht="58">
      <c r="A755" s="16"/>
      <c r="B755" s="18" t="s">
        <v>2207</v>
      </c>
      <c r="C755" s="17" t="s">
        <v>2208</v>
      </c>
      <c r="D755" s="17" t="s">
        <v>2231</v>
      </c>
      <c r="E755" s="17" t="s">
        <v>2210</v>
      </c>
      <c r="F755" s="19"/>
      <c r="G755" s="20">
        <v>1.0</v>
      </c>
      <c r="H755" s="21">
        <v>121.0</v>
      </c>
      <c r="I755" s="21">
        <v>121.0</v>
      </c>
      <c r="J755" s="22">
        <v>222.0</v>
      </c>
      <c r="K755" s="50"/>
      <c r="L755" s="21" t="str">
        <f>IF(K755&gt;0,K755*I755,"")</f>
      </c>
      <c r="M755" s="52"/>
      <c r="N755" t="str">
        <f>IF(K755&gt;0,COUNTIF($K$7:K755,"&gt;0"),"")</f>
      </c>
      <c r="O755" t="s">
        <v>2232</v>
      </c>
      <c r="P755" t="s">
        <v>2230</v>
      </c>
    </row>
    <row r="756" spans="1:16" customHeight="1" ht="58">
      <c r="A756" s="16"/>
      <c r="B756" s="18" t="s">
        <v>2234</v>
      </c>
      <c r="C756" s="17" t="s">
        <v>2235</v>
      </c>
      <c r="D756" s="17" t="s">
        <v>2236</v>
      </c>
      <c r="E756" s="17" t="s">
        <v>1934</v>
      </c>
      <c r="F756" s="19"/>
      <c r="G756" s="20">
        <v>1.0</v>
      </c>
      <c r="H756" s="21">
        <v>154.0</v>
      </c>
      <c r="I756" s="21">
        <v>154.0</v>
      </c>
      <c r="J756" s="22">
        <v>39.0</v>
      </c>
      <c r="K756" s="50"/>
      <c r="L756" s="21" t="str">
        <f>IF(K756&gt;0,K756*I756,"")</f>
      </c>
      <c r="M756" s="52"/>
      <c r="N756" t="str">
        <f>IF(K756&gt;0,COUNTIF($K$7:K756,"&gt;0"),"")</f>
      </c>
      <c r="O756" t="s">
        <v>2237</v>
      </c>
      <c r="P756" t="s">
        <v>2233</v>
      </c>
    </row>
    <row r="757" spans="1:16" customHeight="1" ht="58">
      <c r="A757" s="16"/>
      <c r="B757" s="18" t="s">
        <v>2234</v>
      </c>
      <c r="C757" s="17" t="s">
        <v>2235</v>
      </c>
      <c r="D757" s="17" t="s">
        <v>2239</v>
      </c>
      <c r="E757" s="17" t="s">
        <v>1934</v>
      </c>
      <c r="F757" s="19"/>
      <c r="G757" s="20">
        <v>1.0</v>
      </c>
      <c r="H757" s="21">
        <v>154.0</v>
      </c>
      <c r="I757" s="21">
        <v>154.0</v>
      </c>
      <c r="J757" s="22">
        <v>67.0</v>
      </c>
      <c r="K757" s="50"/>
      <c r="L757" s="21" t="str">
        <f>IF(K757&gt;0,K757*I757,"")</f>
      </c>
      <c r="M757" s="52"/>
      <c r="N757" t="str">
        <f>IF(K757&gt;0,COUNTIF($K$7:K757,"&gt;0"),"")</f>
      </c>
      <c r="O757" t="s">
        <v>2240</v>
      </c>
      <c r="P757" t="s">
        <v>2238</v>
      </c>
    </row>
    <row r="758" spans="1:16" customHeight="1" ht="58">
      <c r="A758" s="16"/>
      <c r="B758" s="18" t="s">
        <v>2234</v>
      </c>
      <c r="C758" s="17" t="s">
        <v>2235</v>
      </c>
      <c r="D758" s="17" t="s">
        <v>2216</v>
      </c>
      <c r="E758" s="17" t="s">
        <v>1934</v>
      </c>
      <c r="F758" s="19"/>
      <c r="G758" s="20">
        <v>1.0</v>
      </c>
      <c r="H758" s="21">
        <v>154.0</v>
      </c>
      <c r="I758" s="21">
        <v>154.0</v>
      </c>
      <c r="J758" s="22">
        <v>39.0</v>
      </c>
      <c r="K758" s="50"/>
      <c r="L758" s="21" t="str">
        <f>IF(K758&gt;0,K758*I758,"")</f>
      </c>
      <c r="M758" s="52"/>
      <c r="N758" t="str">
        <f>IF(K758&gt;0,COUNTIF($K$7:K758,"&gt;0"),"")</f>
      </c>
      <c r="O758" t="s">
        <v>2242</v>
      </c>
      <c r="P758" t="s">
        <v>2241</v>
      </c>
    </row>
    <row r="759" spans="1:16" customHeight="1" ht="58">
      <c r="A759" s="16"/>
      <c r="B759" s="18" t="s">
        <v>2234</v>
      </c>
      <c r="C759" s="17" t="s">
        <v>2235</v>
      </c>
      <c r="D759" s="17" t="s">
        <v>2244</v>
      </c>
      <c r="E759" s="17" t="s">
        <v>1934</v>
      </c>
      <c r="F759" s="19"/>
      <c r="G759" s="20">
        <v>1.0</v>
      </c>
      <c r="H759" s="21">
        <v>154.0</v>
      </c>
      <c r="I759" s="21">
        <v>154.0</v>
      </c>
      <c r="J759" s="22">
        <v>14.0</v>
      </c>
      <c r="K759" s="50"/>
      <c r="L759" s="21" t="str">
        <f>IF(K759&gt;0,K759*I759,"")</f>
      </c>
      <c r="M759" s="52"/>
      <c r="N759" t="str">
        <f>IF(K759&gt;0,COUNTIF($K$7:K759,"&gt;0"),"")</f>
      </c>
      <c r="O759" t="s">
        <v>2245</v>
      </c>
      <c r="P759" t="s">
        <v>2243</v>
      </c>
    </row>
    <row r="760" spans="1:16" customHeight="1" ht="58">
      <c r="A760" s="16"/>
      <c r="B760" s="18" t="s">
        <v>2234</v>
      </c>
      <c r="C760" s="17" t="s">
        <v>2235</v>
      </c>
      <c r="D760" s="17" t="s">
        <v>2247</v>
      </c>
      <c r="E760" s="17" t="s">
        <v>1934</v>
      </c>
      <c r="F760" s="19"/>
      <c r="G760" s="20">
        <v>1.0</v>
      </c>
      <c r="H760" s="21">
        <v>154.0</v>
      </c>
      <c r="I760" s="21">
        <v>154.0</v>
      </c>
      <c r="J760" s="22">
        <v>23.0</v>
      </c>
      <c r="K760" s="50"/>
      <c r="L760" s="21" t="str">
        <f>IF(K760&gt;0,K760*I760,"")</f>
      </c>
      <c r="M760" s="52"/>
      <c r="N760" t="str">
        <f>IF(K760&gt;0,COUNTIF($K$7:K760,"&gt;0"),"")</f>
      </c>
      <c r="O760" t="s">
        <v>2248</v>
      </c>
      <c r="P760" t="s">
        <v>2246</v>
      </c>
    </row>
    <row r="761" spans="1:16" customHeight="1" ht="58">
      <c r="A761" s="16"/>
      <c r="B761" s="18" t="s">
        <v>2250</v>
      </c>
      <c r="C761" s="17" t="s">
        <v>2251</v>
      </c>
      <c r="D761" s="17" t="s">
        <v>2252</v>
      </c>
      <c r="E761" s="17" t="s">
        <v>1913</v>
      </c>
      <c r="F761" s="19"/>
      <c r="G761" s="20">
        <v>1.0</v>
      </c>
      <c r="H761" s="21">
        <v>132.0</v>
      </c>
      <c r="I761" s="21">
        <v>125.0</v>
      </c>
      <c r="J761" s="22">
        <v>3.0</v>
      </c>
      <c r="K761" s="50"/>
      <c r="L761" s="21" t="str">
        <f>IF(K761&gt;0,K761*I761,"")</f>
      </c>
      <c r="M761" s="52"/>
      <c r="N761" t="str">
        <f>IF(K761&gt;0,COUNTIF($K$7:K761,"&gt;0"),"")</f>
      </c>
      <c r="O761" t="s">
        <v>2253</v>
      </c>
      <c r="P761" t="s">
        <v>2249</v>
      </c>
    </row>
    <row r="762" spans="1:16" customHeight="1" ht="58">
      <c r="A762" s="16"/>
      <c r="B762" s="18" t="s">
        <v>2255</v>
      </c>
      <c r="C762" s="17" t="s">
        <v>2256</v>
      </c>
      <c r="D762" s="17" t="s">
        <v>2054</v>
      </c>
      <c r="E762" s="17" t="s">
        <v>1913</v>
      </c>
      <c r="F762" s="19"/>
      <c r="G762" s="20">
        <v>1.0</v>
      </c>
      <c r="H762" s="21">
        <v>99.0</v>
      </c>
      <c r="I762" s="21">
        <v>99.0</v>
      </c>
      <c r="J762" s="22">
        <v>56.0</v>
      </c>
      <c r="K762" s="50"/>
      <c r="L762" s="21" t="str">
        <f>IF(K762&gt;0,K762*I762,"")</f>
      </c>
      <c r="M762" s="52"/>
      <c r="N762" t="str">
        <f>IF(K762&gt;0,COUNTIF($K$7:K762,"&gt;0"),"")</f>
      </c>
      <c r="O762" t="s">
        <v>2257</v>
      </c>
      <c r="P762" t="s">
        <v>2254</v>
      </c>
    </row>
    <row r="763" spans="1:16" customHeight="1" ht="58">
      <c r="A763" s="16"/>
      <c r="B763" s="18" t="s">
        <v>2255</v>
      </c>
      <c r="C763" s="17" t="s">
        <v>2256</v>
      </c>
      <c r="D763" s="17" t="s">
        <v>1928</v>
      </c>
      <c r="E763" s="17" t="s">
        <v>1913</v>
      </c>
      <c r="F763" s="19"/>
      <c r="G763" s="20">
        <v>1.0</v>
      </c>
      <c r="H763" s="21">
        <v>99.0</v>
      </c>
      <c r="I763" s="21">
        <v>99.0</v>
      </c>
      <c r="J763" s="22">
        <v>473.0</v>
      </c>
      <c r="K763" s="50"/>
      <c r="L763" s="21" t="str">
        <f>IF(K763&gt;0,K763*I763,"")</f>
      </c>
      <c r="M763" s="52"/>
      <c r="N763" t="str">
        <f>IF(K763&gt;0,COUNTIF($K$7:K763,"&gt;0"),"")</f>
      </c>
      <c r="O763" t="s">
        <v>2259</v>
      </c>
      <c r="P763" t="s">
        <v>2258</v>
      </c>
    </row>
    <row r="764" spans="1:16" customHeight="1" ht="58">
      <c r="A764" s="16"/>
      <c r="B764" s="18" t="s">
        <v>2261</v>
      </c>
      <c r="C764" s="17" t="s">
        <v>2262</v>
      </c>
      <c r="D764" s="17"/>
      <c r="E764" s="17"/>
      <c r="F764" s="19"/>
      <c r="G764" s="20">
        <v>1.0</v>
      </c>
      <c r="H764" s="21">
        <v>99.0</v>
      </c>
      <c r="I764" s="21">
        <v>99.0</v>
      </c>
      <c r="J764" s="22">
        <v>116.0</v>
      </c>
      <c r="K764" s="50"/>
      <c r="L764" s="21" t="str">
        <f>IF(K764&gt;0,K764*I764,"")</f>
      </c>
      <c r="M764" s="52"/>
      <c r="N764" t="str">
        <f>IF(K764&gt;0,COUNTIF($K$7:K764,"&gt;0"),"")</f>
      </c>
      <c r="O764" t="s">
        <v>2263</v>
      </c>
      <c r="P764" t="s">
        <v>2260</v>
      </c>
    </row>
    <row r="765" spans="1:16" customHeight="1" ht="58">
      <c r="A765" s="16"/>
      <c r="B765" s="18" t="s">
        <v>2261</v>
      </c>
      <c r="C765" s="17" t="s">
        <v>2265</v>
      </c>
      <c r="D765" s="17"/>
      <c r="E765" s="17"/>
      <c r="F765" s="19"/>
      <c r="G765" s="20">
        <v>1.0</v>
      </c>
      <c r="H765" s="21">
        <v>99.0</v>
      </c>
      <c r="I765" s="21">
        <v>99.0</v>
      </c>
      <c r="J765" s="22">
        <v>123.0</v>
      </c>
      <c r="K765" s="50"/>
      <c r="L765" s="21" t="str">
        <f>IF(K765&gt;0,K765*I765,"")</f>
      </c>
      <c r="M765" s="52"/>
      <c r="N765" t="str">
        <f>IF(K765&gt;0,COUNTIF($K$7:K765,"&gt;0"),"")</f>
      </c>
      <c r="O765" t="s">
        <v>2266</v>
      </c>
      <c r="P765" t="s">
        <v>2264</v>
      </c>
    </row>
    <row r="766" spans="1:16" customHeight="1" ht="58">
      <c r="A766" s="16"/>
      <c r="B766" s="18" t="s">
        <v>2261</v>
      </c>
      <c r="C766" s="17" t="s">
        <v>2268</v>
      </c>
      <c r="D766" s="17"/>
      <c r="E766" s="17"/>
      <c r="F766" s="19"/>
      <c r="G766" s="20">
        <v>1.0</v>
      </c>
      <c r="H766" s="21">
        <v>99.0</v>
      </c>
      <c r="I766" s="21">
        <v>99.0</v>
      </c>
      <c r="J766" s="22">
        <v>229.0</v>
      </c>
      <c r="K766" s="50"/>
      <c r="L766" s="21" t="str">
        <f>IF(K766&gt;0,K766*I766,"")</f>
      </c>
      <c r="M766" s="52"/>
      <c r="N766" t="str">
        <f>IF(K766&gt;0,COUNTIF($K$7:K766,"&gt;0"),"")</f>
      </c>
      <c r="O766" t="s">
        <v>2269</v>
      </c>
      <c r="P766" t="s">
        <v>2267</v>
      </c>
    </row>
    <row r="767" spans="1:16" customHeight="1" ht="58">
      <c r="A767" s="16"/>
      <c r="B767" s="18" t="s">
        <v>2261</v>
      </c>
      <c r="C767" s="17" t="s">
        <v>2271</v>
      </c>
      <c r="D767" s="17"/>
      <c r="E767" s="17"/>
      <c r="F767" s="19"/>
      <c r="G767" s="20">
        <v>1.0</v>
      </c>
      <c r="H767" s="21">
        <v>99.0</v>
      </c>
      <c r="I767" s="21">
        <v>99.0</v>
      </c>
      <c r="J767" s="22">
        <v>190.0</v>
      </c>
      <c r="K767" s="50"/>
      <c r="L767" s="21" t="str">
        <f>IF(K767&gt;0,K767*I767,"")</f>
      </c>
      <c r="M767" s="52"/>
      <c r="N767" t="str">
        <f>IF(K767&gt;0,COUNTIF($K$7:K767,"&gt;0"),"")</f>
      </c>
      <c r="O767" t="s">
        <v>2272</v>
      </c>
      <c r="P767" t="s">
        <v>2270</v>
      </c>
    </row>
    <row r="768" spans="1:16" customHeight="1" ht="58">
      <c r="A768" s="16"/>
      <c r="B768" s="18" t="s">
        <v>2274</v>
      </c>
      <c r="C768" s="17" t="s">
        <v>2275</v>
      </c>
      <c r="D768" s="17" t="s">
        <v>1919</v>
      </c>
      <c r="E768" s="17" t="s">
        <v>1913</v>
      </c>
      <c r="F768" s="19"/>
      <c r="G768" s="20">
        <v>1.0</v>
      </c>
      <c r="H768" s="21">
        <v>99.0</v>
      </c>
      <c r="I768" s="21">
        <v>99.0</v>
      </c>
      <c r="J768" s="22">
        <v>1278.0</v>
      </c>
      <c r="K768" s="50"/>
      <c r="L768" s="21" t="str">
        <f>IF(K768&gt;0,K768*I768,"")</f>
      </c>
      <c r="M768" s="52"/>
      <c r="N768" t="str">
        <f>IF(K768&gt;0,COUNTIF($K$7:K768,"&gt;0"),"")</f>
      </c>
      <c r="O768" t="s">
        <v>2276</v>
      </c>
      <c r="P768" t="s">
        <v>2273</v>
      </c>
    </row>
    <row r="769" spans="1:16" customHeight="1" ht="58">
      <c r="A769" s="16"/>
      <c r="B769" s="18" t="s">
        <v>2274</v>
      </c>
      <c r="C769" s="17" t="s">
        <v>2275</v>
      </c>
      <c r="D769" s="17" t="s">
        <v>2059</v>
      </c>
      <c r="E769" s="17" t="s">
        <v>1913</v>
      </c>
      <c r="F769" s="19"/>
      <c r="G769" s="20">
        <v>1.0</v>
      </c>
      <c r="H769" s="21">
        <v>99.0</v>
      </c>
      <c r="I769" s="21">
        <v>99.0</v>
      </c>
      <c r="J769" s="22">
        <v>1208.0</v>
      </c>
      <c r="K769" s="50"/>
      <c r="L769" s="21" t="str">
        <f>IF(K769&gt;0,K769*I769,"")</f>
      </c>
      <c r="M769" s="52"/>
      <c r="N769" t="str">
        <f>IF(K769&gt;0,COUNTIF($K$7:K769,"&gt;0"),"")</f>
      </c>
      <c r="O769" t="s">
        <v>2278</v>
      </c>
      <c r="P769" t="s">
        <v>2277</v>
      </c>
    </row>
    <row r="770" spans="1:16" customHeight="1" ht="58">
      <c r="A770" s="16"/>
      <c r="B770" s="18" t="s">
        <v>2274</v>
      </c>
      <c r="C770" s="17" t="s">
        <v>2275</v>
      </c>
      <c r="D770" s="17" t="s">
        <v>1925</v>
      </c>
      <c r="E770" s="17" t="s">
        <v>1913</v>
      </c>
      <c r="F770" s="19"/>
      <c r="G770" s="20">
        <v>1.0</v>
      </c>
      <c r="H770" s="21">
        <v>99.0</v>
      </c>
      <c r="I770" s="21">
        <v>99.0</v>
      </c>
      <c r="J770" s="22">
        <v>1333.0</v>
      </c>
      <c r="K770" s="50"/>
      <c r="L770" s="21" t="str">
        <f>IF(K770&gt;0,K770*I770,"")</f>
      </c>
      <c r="M770" s="52"/>
      <c r="N770" t="str">
        <f>IF(K770&gt;0,COUNTIF($K$7:K770,"&gt;0"),"")</f>
      </c>
      <c r="O770" t="s">
        <v>2280</v>
      </c>
      <c r="P770" t="s">
        <v>2279</v>
      </c>
    </row>
    <row r="771" spans="1:16" customHeight="1" ht="58">
      <c r="A771" s="16"/>
      <c r="B771" s="18" t="s">
        <v>2274</v>
      </c>
      <c r="C771" s="17" t="s">
        <v>2275</v>
      </c>
      <c r="D771" s="17" t="s">
        <v>1940</v>
      </c>
      <c r="E771" s="17" t="s">
        <v>1913</v>
      </c>
      <c r="F771" s="19"/>
      <c r="G771" s="20">
        <v>1.0</v>
      </c>
      <c r="H771" s="21">
        <v>99.0</v>
      </c>
      <c r="I771" s="21">
        <v>99.0</v>
      </c>
      <c r="J771" s="22">
        <v>984.0</v>
      </c>
      <c r="K771" s="50"/>
      <c r="L771" s="21" t="str">
        <f>IF(K771&gt;0,K771*I771,"")</f>
      </c>
      <c r="M771" s="52"/>
      <c r="N771" t="str">
        <f>IF(K771&gt;0,COUNTIF($K$7:K771,"&gt;0"),"")</f>
      </c>
      <c r="O771" t="s">
        <v>2282</v>
      </c>
      <c r="P771" t="s">
        <v>2281</v>
      </c>
    </row>
    <row r="772" spans="1:16" customHeight="1" ht="58">
      <c r="A772" s="16"/>
      <c r="B772" s="18" t="s">
        <v>2274</v>
      </c>
      <c r="C772" s="17" t="s">
        <v>2275</v>
      </c>
      <c r="D772" s="17" t="s">
        <v>2032</v>
      </c>
      <c r="E772" s="17" t="s">
        <v>1913</v>
      </c>
      <c r="F772" s="19"/>
      <c r="G772" s="20">
        <v>1.0</v>
      </c>
      <c r="H772" s="21">
        <v>99.0</v>
      </c>
      <c r="I772" s="21">
        <v>99.0</v>
      </c>
      <c r="J772" s="22">
        <v>1337.0</v>
      </c>
      <c r="K772" s="50"/>
      <c r="L772" s="21" t="str">
        <f>IF(K772&gt;0,K772*I772,"")</f>
      </c>
      <c r="M772" s="52"/>
      <c r="N772" t="str">
        <f>IF(K772&gt;0,COUNTIF($K$7:K772,"&gt;0"),"")</f>
      </c>
      <c r="O772" t="s">
        <v>2284</v>
      </c>
      <c r="P772" t="s">
        <v>2283</v>
      </c>
    </row>
    <row r="773" spans="1:16" customHeight="1" ht="58">
      <c r="A773" s="16"/>
      <c r="B773" s="18" t="s">
        <v>2274</v>
      </c>
      <c r="C773" s="17" t="s">
        <v>2275</v>
      </c>
      <c r="D773" s="17" t="s">
        <v>1997</v>
      </c>
      <c r="E773" s="17" t="s">
        <v>1913</v>
      </c>
      <c r="F773" s="19"/>
      <c r="G773" s="20">
        <v>1.0</v>
      </c>
      <c r="H773" s="21">
        <v>99.0</v>
      </c>
      <c r="I773" s="21">
        <v>99.0</v>
      </c>
      <c r="J773" s="22">
        <v>1249.0</v>
      </c>
      <c r="K773" s="50"/>
      <c r="L773" s="21" t="str">
        <f>IF(K773&gt;0,K773*I773,"")</f>
      </c>
      <c r="M773" s="52"/>
      <c r="N773" t="str">
        <f>IF(K773&gt;0,COUNTIF($K$7:K773,"&gt;0"),"")</f>
      </c>
      <c r="O773" t="s">
        <v>2286</v>
      </c>
      <c r="P773" t="s">
        <v>2285</v>
      </c>
    </row>
    <row r="774" spans="1:16" customHeight="1" ht="58">
      <c r="A774" s="16"/>
      <c r="B774" s="18" t="s">
        <v>2288</v>
      </c>
      <c r="C774" s="17" t="s">
        <v>2289</v>
      </c>
      <c r="D774" s="17" t="s">
        <v>2032</v>
      </c>
      <c r="E774" s="17" t="s">
        <v>1913</v>
      </c>
      <c r="F774" s="19"/>
      <c r="G774" s="20">
        <v>1.0</v>
      </c>
      <c r="H774" s="21">
        <v>99.0</v>
      </c>
      <c r="I774" s="21">
        <v>99.0</v>
      </c>
      <c r="J774" s="22">
        <v>88.0</v>
      </c>
      <c r="K774" s="50"/>
      <c r="L774" s="21" t="str">
        <f>IF(K774&gt;0,K774*I774,"")</f>
      </c>
      <c r="M774" s="52"/>
      <c r="N774" t="str">
        <f>IF(K774&gt;0,COUNTIF($K$7:K774,"&gt;0"),"")</f>
      </c>
      <c r="O774" t="s">
        <v>2290</v>
      </c>
      <c r="P774" t="s">
        <v>2287</v>
      </c>
    </row>
    <row r="775" spans="1:16" customHeight="1" ht="58">
      <c r="A775" s="16"/>
      <c r="B775" s="18" t="s">
        <v>2288</v>
      </c>
      <c r="C775" s="17" t="s">
        <v>2289</v>
      </c>
      <c r="D775" s="17" t="s">
        <v>2292</v>
      </c>
      <c r="E775" s="17" t="s">
        <v>1913</v>
      </c>
      <c r="F775" s="19"/>
      <c r="G775" s="20">
        <v>1.0</v>
      </c>
      <c r="H775" s="21">
        <v>99.0</v>
      </c>
      <c r="I775" s="21">
        <v>99.0</v>
      </c>
      <c r="J775" s="22">
        <v>163.0</v>
      </c>
      <c r="K775" s="50"/>
      <c r="L775" s="21" t="str">
        <f>IF(K775&gt;0,K775*I775,"")</f>
      </c>
      <c r="M775" s="52"/>
      <c r="N775" t="str">
        <f>IF(K775&gt;0,COUNTIF($K$7:K775,"&gt;0"),"")</f>
      </c>
      <c r="O775" t="s">
        <v>2293</v>
      </c>
      <c r="P775" t="s">
        <v>2291</v>
      </c>
    </row>
    <row r="776" spans="1:16" customHeight="1" ht="58">
      <c r="A776" s="16"/>
      <c r="B776" s="18" t="s">
        <v>2295</v>
      </c>
      <c r="C776" s="17" t="s">
        <v>2296</v>
      </c>
      <c r="D776" s="17" t="s">
        <v>1963</v>
      </c>
      <c r="E776" s="17" t="s">
        <v>1913</v>
      </c>
      <c r="F776" s="19"/>
      <c r="G776" s="20">
        <v>1.0</v>
      </c>
      <c r="H776" s="21">
        <v>99.0</v>
      </c>
      <c r="I776" s="21">
        <v>99.0</v>
      </c>
      <c r="J776" s="22">
        <v>485.0</v>
      </c>
      <c r="K776" s="50"/>
      <c r="L776" s="21" t="str">
        <f>IF(K776&gt;0,K776*I776,"")</f>
      </c>
      <c r="M776" s="52"/>
      <c r="N776" t="str">
        <f>IF(K776&gt;0,COUNTIF($K$7:K776,"&gt;0"),"")</f>
      </c>
      <c r="O776" t="s">
        <v>2297</v>
      </c>
      <c r="P776" t="s">
        <v>2294</v>
      </c>
    </row>
    <row r="777" spans="1:16" customHeight="1" ht="58">
      <c r="A777" s="16"/>
      <c r="B777" s="18" t="s">
        <v>2295</v>
      </c>
      <c r="C777" s="17" t="s">
        <v>2296</v>
      </c>
      <c r="D777" s="17" t="s">
        <v>1968</v>
      </c>
      <c r="E777" s="17" t="s">
        <v>1913</v>
      </c>
      <c r="F777" s="19"/>
      <c r="G777" s="20">
        <v>1.0</v>
      </c>
      <c r="H777" s="21">
        <v>99.0</v>
      </c>
      <c r="I777" s="21">
        <v>99.0</v>
      </c>
      <c r="J777" s="22">
        <v>734.0</v>
      </c>
      <c r="K777" s="50"/>
      <c r="L777" s="21" t="str">
        <f>IF(K777&gt;0,K777*I777,"")</f>
      </c>
      <c r="M777" s="52"/>
      <c r="N777" t="str">
        <f>IF(K777&gt;0,COUNTIF($K$7:K777,"&gt;0"),"")</f>
      </c>
      <c r="O777" t="s">
        <v>2299</v>
      </c>
      <c r="P777" t="s">
        <v>2298</v>
      </c>
    </row>
    <row r="778" spans="1:16" customHeight="1" ht="58">
      <c r="A778" s="16"/>
      <c r="B778" s="18" t="s">
        <v>2295</v>
      </c>
      <c r="C778" s="17" t="s">
        <v>2296</v>
      </c>
      <c r="D778" s="17" t="s">
        <v>2301</v>
      </c>
      <c r="E778" s="17" t="s">
        <v>1913</v>
      </c>
      <c r="F778" s="19"/>
      <c r="G778" s="20">
        <v>1.0</v>
      </c>
      <c r="H778" s="21">
        <v>99.0</v>
      </c>
      <c r="I778" s="21">
        <v>99.0</v>
      </c>
      <c r="J778" s="22">
        <v>742.0</v>
      </c>
      <c r="K778" s="50"/>
      <c r="L778" s="21" t="str">
        <f>IF(K778&gt;0,K778*I778,"")</f>
      </c>
      <c r="M778" s="52"/>
      <c r="N778" t="str">
        <f>IF(K778&gt;0,COUNTIF($K$7:K778,"&gt;0"),"")</f>
      </c>
      <c r="O778" t="s">
        <v>2302</v>
      </c>
      <c r="P778" t="s">
        <v>2300</v>
      </c>
    </row>
    <row r="779" spans="1:16" customHeight="1" ht="58">
      <c r="A779" s="16"/>
      <c r="B779" s="18" t="s">
        <v>2295</v>
      </c>
      <c r="C779" s="17" t="s">
        <v>2296</v>
      </c>
      <c r="D779" s="17" t="s">
        <v>2054</v>
      </c>
      <c r="E779" s="17" t="s">
        <v>1913</v>
      </c>
      <c r="F779" s="19"/>
      <c r="G779" s="20">
        <v>1.0</v>
      </c>
      <c r="H779" s="21">
        <v>99.0</v>
      </c>
      <c r="I779" s="21">
        <v>99.0</v>
      </c>
      <c r="J779" s="22">
        <v>589.0</v>
      </c>
      <c r="K779" s="50"/>
      <c r="L779" s="21" t="str">
        <f>IF(K779&gt;0,K779*I779,"")</f>
      </c>
      <c r="M779" s="52"/>
      <c r="N779" t="str">
        <f>IF(K779&gt;0,COUNTIF($K$7:K779,"&gt;0"),"")</f>
      </c>
      <c r="O779" t="s">
        <v>2304</v>
      </c>
      <c r="P779" t="s">
        <v>2303</v>
      </c>
    </row>
    <row r="780" spans="1:16" customHeight="1" ht="58">
      <c r="A780" s="16"/>
      <c r="B780" s="18" t="s">
        <v>2306</v>
      </c>
      <c r="C780" s="17" t="s">
        <v>2307</v>
      </c>
      <c r="D780" s="17" t="s">
        <v>2308</v>
      </c>
      <c r="E780" s="17" t="s">
        <v>1913</v>
      </c>
      <c r="F780" s="19"/>
      <c r="G780" s="20">
        <v>1.0</v>
      </c>
      <c r="H780" s="21">
        <v>121.0</v>
      </c>
      <c r="I780" s="21">
        <v>121.0</v>
      </c>
      <c r="J780" s="22">
        <v>22.0</v>
      </c>
      <c r="K780" s="50"/>
      <c r="L780" s="21" t="str">
        <f>IF(K780&gt;0,K780*I780,"")</f>
      </c>
      <c r="M780" s="52"/>
      <c r="N780" t="str">
        <f>IF(K780&gt;0,COUNTIF($K$7:K780,"&gt;0"),"")</f>
      </c>
      <c r="O780" t="s">
        <v>2309</v>
      </c>
      <c r="P780" t="s">
        <v>2305</v>
      </c>
    </row>
    <row r="781" spans="1:16" customHeight="1" ht="58">
      <c r="A781" s="16"/>
      <c r="B781" s="18" t="s">
        <v>2311</v>
      </c>
      <c r="C781" s="17" t="s">
        <v>2312</v>
      </c>
      <c r="D781" s="17" t="s">
        <v>1050</v>
      </c>
      <c r="E781" s="17" t="s">
        <v>2313</v>
      </c>
      <c r="F781" s="19"/>
      <c r="G781" s="20">
        <v>1.0</v>
      </c>
      <c r="H781" s="21">
        <v>121.0</v>
      </c>
      <c r="I781" s="21">
        <v>121.0</v>
      </c>
      <c r="J781" s="22">
        <v>85.0</v>
      </c>
      <c r="K781" s="50"/>
      <c r="L781" s="21" t="str">
        <f>IF(K781&gt;0,K781*I781,"")</f>
      </c>
      <c r="M781" s="52"/>
      <c r="N781" t="str">
        <f>IF(K781&gt;0,COUNTIF($K$7:K781,"&gt;0"),"")</f>
      </c>
      <c r="O781" t="s">
        <v>2314</v>
      </c>
      <c r="P781" t="s">
        <v>2310</v>
      </c>
    </row>
    <row r="783" spans="1:16">
      <c r="I783" s="30" t="s">
        <v>2315</v>
      </c>
      <c r="J783" s="33"/>
      <c r="K783" s="36" t="str">
        <f>COUNTIF(K7:K781,"&gt;0")</f>
      </c>
    </row>
    <row r="784" spans="1:16">
      <c r="I784" s="31" t="s">
        <v>2316</v>
      </c>
      <c r="J784" s="34"/>
      <c r="K784" s="37" t="str">
        <f>SUM(K7:K781)</f>
      </c>
    </row>
    <row r="785" spans="1:16">
      <c r="I785" s="32" t="s">
        <v>2317</v>
      </c>
      <c r="J785" s="35"/>
      <c r="K785" s="38" t="str">
        <f>SUM(L7:L781)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508:M508"/>
    <mergeCell ref="A651:M651"/>
    <mergeCell ref="A747:M747"/>
    <mergeCell ref="I783:J783"/>
    <mergeCell ref="I784:J784"/>
    <mergeCell ref="I785:J785"/>
    <mergeCell ref="G5:I5"/>
  </mergeCells>
  <conditionalFormatting sqref="A7:M781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781">
    <cfRule type="expression" dxfId="2" priority="3">
      <formula>AND($K7&gt;$J7,$K7&gt;0)</formula>
    </cfRule>
  </conditionalFormatting>
  <dataValidations count="10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99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02:K325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28:K50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509:K638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649:K65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652:K746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748:K781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300:K301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326:K327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639:K648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  <hyperlink ref="B156" r:id="rId_hyperlink_149" tooltip="Открыть карточку товара на сайте" display="Открыть карточку товара на сайте"/>
    <hyperlink ref="B157" r:id="rId_hyperlink_150" tooltip="Открыть карточку товара на сайте" display="Открыть карточку товара на сайте"/>
    <hyperlink ref="B158" r:id="rId_hyperlink_151" tooltip="Открыть карточку товара на сайте" display="Открыть карточку товара на сайте"/>
    <hyperlink ref="B159" r:id="rId_hyperlink_152" tooltip="Открыть карточку товара на сайте" display="Открыть карточку товара на сайте"/>
    <hyperlink ref="B160" r:id="rId_hyperlink_153" tooltip="Открыть карточку товара на сайте" display="Открыть карточку товара на сайте"/>
    <hyperlink ref="B161" r:id="rId_hyperlink_154" tooltip="Открыть карточку товара на сайте" display="Открыть карточку товара на сайте"/>
    <hyperlink ref="B162" r:id="rId_hyperlink_155" tooltip="Открыть карточку товара на сайте" display="Открыть карточку товара на сайте"/>
    <hyperlink ref="B163" r:id="rId_hyperlink_156" tooltip="Открыть карточку товара на сайте" display="Открыть карточку товара на сайте"/>
    <hyperlink ref="B164" r:id="rId_hyperlink_157" tooltip="Открыть карточку товара на сайте" display="Открыть карточку товара на сайте"/>
    <hyperlink ref="B165" r:id="rId_hyperlink_158" tooltip="Открыть карточку товара на сайте" display="Открыть карточку товара на сайте"/>
    <hyperlink ref="B166" r:id="rId_hyperlink_159" tooltip="Открыть карточку товара на сайте" display="Открыть карточку товара на сайте"/>
    <hyperlink ref="B167" r:id="rId_hyperlink_160" tooltip="Открыть карточку товара на сайте" display="Открыть карточку товара на сайте"/>
    <hyperlink ref="B168" r:id="rId_hyperlink_161" tooltip="Открыть карточку товара на сайте" display="Открыть карточку товара на сайте"/>
    <hyperlink ref="B169" r:id="rId_hyperlink_162" tooltip="Открыть карточку товара на сайте" display="Открыть карточку товара на сайте"/>
    <hyperlink ref="B170" r:id="rId_hyperlink_163" tooltip="Открыть карточку товара на сайте" display="Открыть карточку товара на сайте"/>
    <hyperlink ref="B171" r:id="rId_hyperlink_164" tooltip="Открыть карточку товара на сайте" display="Открыть карточку товара на сайте"/>
    <hyperlink ref="B172" r:id="rId_hyperlink_165" tooltip="Открыть карточку товара на сайте" display="Открыть карточку товара на сайте"/>
    <hyperlink ref="B173" r:id="rId_hyperlink_166" tooltip="Открыть карточку товара на сайте" display="Открыть карточку товара на сайте"/>
    <hyperlink ref="B174" r:id="rId_hyperlink_167" tooltip="Открыть карточку товара на сайте" display="Открыть карточку товара на сайте"/>
    <hyperlink ref="B175" r:id="rId_hyperlink_168" tooltip="Открыть карточку товара на сайте" display="Открыть карточку товара на сайте"/>
    <hyperlink ref="B176" r:id="rId_hyperlink_169" tooltip="Открыть карточку товара на сайте" display="Открыть карточку товара на сайте"/>
    <hyperlink ref="B177" r:id="rId_hyperlink_170" tooltip="Открыть карточку товара на сайте" display="Открыть карточку товара на сайте"/>
    <hyperlink ref="B178" r:id="rId_hyperlink_171" tooltip="Открыть карточку товара на сайте" display="Открыть карточку товара на сайте"/>
    <hyperlink ref="B179" r:id="rId_hyperlink_172" tooltip="Открыть карточку товара на сайте" display="Открыть карточку товара на сайте"/>
    <hyperlink ref="B180" r:id="rId_hyperlink_173" tooltip="Открыть карточку товара на сайте" display="Открыть карточку товара на сайте"/>
    <hyperlink ref="B181" r:id="rId_hyperlink_174" tooltip="Открыть карточку товара на сайте" display="Открыть карточку товара на сайте"/>
    <hyperlink ref="B182" r:id="rId_hyperlink_175" tooltip="Открыть карточку товара на сайте" display="Открыть карточку товара на сайте"/>
    <hyperlink ref="B183" r:id="rId_hyperlink_176" tooltip="Открыть карточку товара на сайте" display="Открыть карточку товара на сайте"/>
    <hyperlink ref="B184" r:id="rId_hyperlink_177" tooltip="Открыть карточку товара на сайте" display="Открыть карточку товара на сайте"/>
    <hyperlink ref="B185" r:id="rId_hyperlink_178" tooltip="Открыть карточку товара на сайте" display="Открыть карточку товара на сайте"/>
    <hyperlink ref="B186" r:id="rId_hyperlink_179" tooltip="Открыть карточку товара на сайте" display="Открыть карточку товара на сайте"/>
    <hyperlink ref="B187" r:id="rId_hyperlink_180" tooltip="Открыть карточку товара на сайте" display="Открыть карточку товара на сайте"/>
    <hyperlink ref="B188" r:id="rId_hyperlink_181" tooltip="Открыть карточку товара на сайте" display="Открыть карточку товара на сайте"/>
    <hyperlink ref="B189" r:id="rId_hyperlink_182" tooltip="Открыть карточку товара на сайте" display="Открыть карточку товара на сайте"/>
    <hyperlink ref="B190" r:id="rId_hyperlink_183" tooltip="Открыть карточку товара на сайте" display="Открыть карточку товара на сайте"/>
    <hyperlink ref="B191" r:id="rId_hyperlink_184" tooltip="Открыть карточку товара на сайте" display="Открыть карточку товара на сайте"/>
    <hyperlink ref="B192" r:id="rId_hyperlink_185" tooltip="Открыть карточку товара на сайте" display="Открыть карточку товара на сайте"/>
    <hyperlink ref="B193" r:id="rId_hyperlink_186" tooltip="Открыть карточку товара на сайте" display="Открыть карточку товара на сайте"/>
    <hyperlink ref="B194" r:id="rId_hyperlink_187" tooltip="Открыть карточку товара на сайте" display="Открыть карточку товара на сайте"/>
    <hyperlink ref="B195" r:id="rId_hyperlink_188" tooltip="Открыть карточку товара на сайте" display="Открыть карточку товара на сайте"/>
    <hyperlink ref="B196" r:id="rId_hyperlink_189" tooltip="Открыть карточку товара на сайте" display="Открыть карточку товара на сайте"/>
    <hyperlink ref="B197" r:id="rId_hyperlink_190" tooltip="Открыть карточку товара на сайте" display="Открыть карточку товара на сайте"/>
    <hyperlink ref="B198" r:id="rId_hyperlink_191" tooltip="Открыть карточку товара на сайте" display="Открыть карточку товара на сайте"/>
    <hyperlink ref="B199" r:id="rId_hyperlink_192" tooltip="Открыть карточку товара на сайте" display="Открыть карточку товара на сайте"/>
    <hyperlink ref="B200" r:id="rId_hyperlink_193" tooltip="Открыть карточку товара на сайте" display="Открыть карточку товара на сайте"/>
    <hyperlink ref="B201" r:id="rId_hyperlink_194" tooltip="Открыть карточку товара на сайте" display="Открыть карточку товара на сайте"/>
    <hyperlink ref="B202" r:id="rId_hyperlink_195" tooltip="Открыть карточку товара на сайте" display="Открыть карточку товара на сайте"/>
    <hyperlink ref="B203" r:id="rId_hyperlink_196" tooltip="Открыть карточку товара на сайте" display="Открыть карточку товара на сайте"/>
    <hyperlink ref="B204" r:id="rId_hyperlink_197" tooltip="Открыть карточку товара на сайте" display="Открыть карточку товара на сайте"/>
    <hyperlink ref="B205" r:id="rId_hyperlink_198" tooltip="Открыть карточку товара на сайте" display="Открыть карточку товара на сайте"/>
    <hyperlink ref="B206" r:id="rId_hyperlink_199" tooltip="Открыть карточку товара на сайте" display="Открыть карточку товара на сайте"/>
    <hyperlink ref="B207" r:id="rId_hyperlink_200" tooltip="Открыть карточку товара на сайте" display="Открыть карточку товара на сайте"/>
    <hyperlink ref="B208" r:id="rId_hyperlink_201" tooltip="Открыть карточку товара на сайте" display="Открыть карточку товара на сайте"/>
    <hyperlink ref="B209" r:id="rId_hyperlink_202" tooltip="Открыть карточку товара на сайте" display="Открыть карточку товара на сайте"/>
    <hyperlink ref="B210" r:id="rId_hyperlink_203" tooltip="Открыть карточку товара на сайте" display="Открыть карточку товара на сайте"/>
    <hyperlink ref="B211" r:id="rId_hyperlink_204" tooltip="Открыть карточку товара на сайте" display="Открыть карточку товара на сайте"/>
    <hyperlink ref="B212" r:id="rId_hyperlink_205" tooltip="Открыть карточку товара на сайте" display="Открыть карточку товара на сайте"/>
    <hyperlink ref="B213" r:id="rId_hyperlink_206" tooltip="Открыть карточку товара на сайте" display="Открыть карточку товара на сайте"/>
    <hyperlink ref="B214" r:id="rId_hyperlink_207" tooltip="Открыть карточку товара на сайте" display="Открыть карточку товара на сайте"/>
    <hyperlink ref="B215" r:id="rId_hyperlink_208" tooltip="Открыть карточку товара на сайте" display="Открыть карточку товара на сайте"/>
    <hyperlink ref="B216" r:id="rId_hyperlink_209" tooltip="Открыть карточку товара на сайте" display="Открыть карточку товара на сайте"/>
    <hyperlink ref="B217" r:id="rId_hyperlink_210" tooltip="Открыть карточку товара на сайте" display="Открыть карточку товара на сайте"/>
    <hyperlink ref="B218" r:id="rId_hyperlink_211" tooltip="Открыть карточку товара на сайте" display="Открыть карточку товара на сайте"/>
    <hyperlink ref="B219" r:id="rId_hyperlink_212" tooltip="Открыть карточку товара на сайте" display="Открыть карточку товара на сайте"/>
    <hyperlink ref="B220" r:id="rId_hyperlink_213" tooltip="Открыть карточку товара на сайте" display="Открыть карточку товара на сайте"/>
    <hyperlink ref="B221" r:id="rId_hyperlink_214" tooltip="Открыть карточку товара на сайте" display="Открыть карточку товара на сайте"/>
    <hyperlink ref="B222" r:id="rId_hyperlink_215" tooltip="Открыть карточку товара на сайте" display="Открыть карточку товара на сайте"/>
    <hyperlink ref="B223" r:id="rId_hyperlink_216" tooltip="Открыть карточку товара на сайте" display="Открыть карточку товара на сайте"/>
    <hyperlink ref="B224" r:id="rId_hyperlink_217" tooltip="Открыть карточку товара на сайте" display="Открыть карточку товара на сайте"/>
    <hyperlink ref="B225" r:id="rId_hyperlink_218" tooltip="Открыть карточку товара на сайте" display="Открыть карточку товара на сайте"/>
    <hyperlink ref="B226" r:id="rId_hyperlink_219" tooltip="Открыть карточку товара на сайте" display="Открыть карточку товара на сайте"/>
    <hyperlink ref="B227" r:id="rId_hyperlink_220" tooltip="Открыть карточку товара на сайте" display="Открыть карточку товара на сайте"/>
    <hyperlink ref="B228" r:id="rId_hyperlink_221" tooltip="Открыть карточку товара на сайте" display="Открыть карточку товара на сайте"/>
    <hyperlink ref="B229" r:id="rId_hyperlink_222" tooltip="Открыть карточку товара на сайте" display="Открыть карточку товара на сайте"/>
    <hyperlink ref="B230" r:id="rId_hyperlink_223" tooltip="Открыть карточку товара на сайте" display="Открыть карточку товара на сайте"/>
    <hyperlink ref="B231" r:id="rId_hyperlink_224" tooltip="Открыть карточку товара на сайте" display="Открыть карточку товара на сайте"/>
    <hyperlink ref="B232" r:id="rId_hyperlink_225" tooltip="Открыть карточку товара на сайте" display="Открыть карточку товара на сайте"/>
    <hyperlink ref="B233" r:id="rId_hyperlink_226" tooltip="Открыть карточку товара на сайте" display="Открыть карточку товара на сайте"/>
    <hyperlink ref="B234" r:id="rId_hyperlink_227" tooltip="Открыть карточку товара на сайте" display="Открыть карточку товара на сайте"/>
    <hyperlink ref="B235" r:id="rId_hyperlink_228" tooltip="Открыть карточку товара на сайте" display="Открыть карточку товара на сайте"/>
    <hyperlink ref="B236" r:id="rId_hyperlink_229" tooltip="Открыть карточку товара на сайте" display="Открыть карточку товара на сайте"/>
    <hyperlink ref="B237" r:id="rId_hyperlink_230" tooltip="Открыть карточку товара на сайте" display="Открыть карточку товара на сайте"/>
    <hyperlink ref="B238" r:id="rId_hyperlink_231" tooltip="Открыть карточку товара на сайте" display="Открыть карточку товара на сайте"/>
    <hyperlink ref="B239" r:id="rId_hyperlink_232" tooltip="Открыть карточку товара на сайте" display="Открыть карточку товара на сайте"/>
    <hyperlink ref="B240" r:id="rId_hyperlink_233" tooltip="Открыть карточку товара на сайте" display="Открыть карточку товара на сайте"/>
    <hyperlink ref="B241" r:id="rId_hyperlink_234" tooltip="Открыть карточку товара на сайте" display="Открыть карточку товара на сайте"/>
    <hyperlink ref="B242" r:id="rId_hyperlink_235" tooltip="Открыть карточку товара на сайте" display="Открыть карточку товара на сайте"/>
    <hyperlink ref="B243" r:id="rId_hyperlink_236" tooltip="Открыть карточку товара на сайте" display="Открыть карточку товара на сайте"/>
    <hyperlink ref="B244" r:id="rId_hyperlink_237" tooltip="Открыть карточку товара на сайте" display="Открыть карточку товара на сайте"/>
    <hyperlink ref="B245" r:id="rId_hyperlink_238" tooltip="Открыть карточку товара на сайте" display="Открыть карточку товара на сайте"/>
    <hyperlink ref="B246" r:id="rId_hyperlink_239" tooltip="Открыть карточку товара на сайте" display="Открыть карточку товара на сайте"/>
    <hyperlink ref="B247" r:id="rId_hyperlink_240" tooltip="Открыть карточку товара на сайте" display="Открыть карточку товара на сайте"/>
    <hyperlink ref="B248" r:id="rId_hyperlink_241" tooltip="Открыть карточку товара на сайте" display="Открыть карточку товара на сайте"/>
    <hyperlink ref="B249" r:id="rId_hyperlink_242" tooltip="Открыть карточку товара на сайте" display="Открыть карточку товара на сайте"/>
    <hyperlink ref="B250" r:id="rId_hyperlink_243" tooltip="Открыть карточку товара на сайте" display="Открыть карточку товара на сайте"/>
    <hyperlink ref="B251" r:id="rId_hyperlink_244" tooltip="Открыть карточку товара на сайте" display="Открыть карточку товара на сайте"/>
    <hyperlink ref="B252" r:id="rId_hyperlink_245" tooltip="Открыть карточку товара на сайте" display="Открыть карточку товара на сайте"/>
    <hyperlink ref="B253" r:id="rId_hyperlink_246" tooltip="Открыть карточку товара на сайте" display="Открыть карточку товара на сайте"/>
    <hyperlink ref="B254" r:id="rId_hyperlink_247" tooltip="Открыть карточку товара на сайте" display="Открыть карточку товара на сайте"/>
    <hyperlink ref="B255" r:id="rId_hyperlink_248" tooltip="Открыть карточку товара на сайте" display="Открыть карточку товара на сайте"/>
    <hyperlink ref="B256" r:id="rId_hyperlink_249" tooltip="Открыть карточку товара на сайте" display="Открыть карточку товара на сайте"/>
    <hyperlink ref="B257" r:id="rId_hyperlink_250" tooltip="Открыть карточку товара на сайте" display="Открыть карточку товара на сайте"/>
    <hyperlink ref="B258" r:id="rId_hyperlink_251" tooltip="Открыть карточку товара на сайте" display="Открыть карточку товара на сайте"/>
    <hyperlink ref="B259" r:id="rId_hyperlink_252" tooltip="Открыть карточку товара на сайте" display="Открыть карточку товара на сайте"/>
    <hyperlink ref="B260" r:id="rId_hyperlink_253" tooltip="Открыть карточку товара на сайте" display="Открыть карточку товара на сайте"/>
    <hyperlink ref="B261" r:id="rId_hyperlink_254" tooltip="Открыть карточку товара на сайте" display="Открыть карточку товара на сайте"/>
    <hyperlink ref="B262" r:id="rId_hyperlink_255" tooltip="Открыть карточку товара на сайте" display="Открыть карточку товара на сайте"/>
    <hyperlink ref="B263" r:id="rId_hyperlink_256" tooltip="Открыть карточку товара на сайте" display="Открыть карточку товара на сайте"/>
    <hyperlink ref="B264" r:id="rId_hyperlink_257" tooltip="Открыть карточку товара на сайте" display="Открыть карточку товара на сайте"/>
    <hyperlink ref="B265" r:id="rId_hyperlink_258" tooltip="Открыть карточку товара на сайте" display="Открыть карточку товара на сайте"/>
    <hyperlink ref="B266" r:id="rId_hyperlink_259" tooltip="Открыть карточку товара на сайте" display="Открыть карточку товара на сайте"/>
    <hyperlink ref="B267" r:id="rId_hyperlink_260" tooltip="Открыть карточку товара на сайте" display="Открыть карточку товара на сайте"/>
    <hyperlink ref="B268" r:id="rId_hyperlink_261" tooltip="Открыть карточку товара на сайте" display="Открыть карточку товара на сайте"/>
    <hyperlink ref="B269" r:id="rId_hyperlink_262" tooltip="Открыть карточку товара на сайте" display="Открыть карточку товара на сайте"/>
    <hyperlink ref="B270" r:id="rId_hyperlink_263" tooltip="Открыть карточку товара на сайте" display="Открыть карточку товара на сайте"/>
    <hyperlink ref="B271" r:id="rId_hyperlink_264" tooltip="Открыть карточку товара на сайте" display="Открыть карточку товара на сайте"/>
    <hyperlink ref="B272" r:id="rId_hyperlink_265" tooltip="Открыть карточку товара на сайте" display="Открыть карточку товара на сайте"/>
    <hyperlink ref="B273" r:id="rId_hyperlink_266" tooltip="Открыть карточку товара на сайте" display="Открыть карточку товара на сайте"/>
    <hyperlink ref="B274" r:id="rId_hyperlink_267" tooltip="Открыть карточку товара на сайте" display="Открыть карточку товара на сайте"/>
    <hyperlink ref="B275" r:id="rId_hyperlink_268" tooltip="Открыть карточку товара на сайте" display="Открыть карточку товара на сайте"/>
    <hyperlink ref="B276" r:id="rId_hyperlink_269" tooltip="Открыть карточку товара на сайте" display="Открыть карточку товара на сайте"/>
    <hyperlink ref="B277" r:id="rId_hyperlink_270" tooltip="Открыть карточку товара на сайте" display="Открыть карточку товара на сайте"/>
    <hyperlink ref="B278" r:id="rId_hyperlink_271" tooltip="Открыть карточку товара на сайте" display="Открыть карточку товара на сайте"/>
    <hyperlink ref="B279" r:id="rId_hyperlink_272" tooltip="Открыть карточку товара на сайте" display="Открыть карточку товара на сайте"/>
    <hyperlink ref="B280" r:id="rId_hyperlink_273" tooltip="Открыть карточку товара на сайте" display="Открыть карточку товара на сайте"/>
    <hyperlink ref="B281" r:id="rId_hyperlink_274" tooltip="Открыть карточку товара на сайте" display="Открыть карточку товара на сайте"/>
    <hyperlink ref="B282" r:id="rId_hyperlink_275" tooltip="Открыть карточку товара на сайте" display="Открыть карточку товара на сайте"/>
    <hyperlink ref="B283" r:id="rId_hyperlink_276" tooltip="Открыть карточку товара на сайте" display="Открыть карточку товара на сайте"/>
    <hyperlink ref="B284" r:id="rId_hyperlink_277" tooltip="Открыть карточку товара на сайте" display="Открыть карточку товара на сайте"/>
    <hyperlink ref="B285" r:id="rId_hyperlink_278" tooltip="Открыть карточку товара на сайте" display="Открыть карточку товара на сайте"/>
    <hyperlink ref="B286" r:id="rId_hyperlink_279" tooltip="Открыть карточку товара на сайте" display="Открыть карточку товара на сайте"/>
    <hyperlink ref="B287" r:id="rId_hyperlink_280" tooltip="Открыть карточку товара на сайте" display="Открыть карточку товара на сайте"/>
    <hyperlink ref="B288" r:id="rId_hyperlink_281" tooltip="Открыть карточку товара на сайте" display="Открыть карточку товара на сайте"/>
    <hyperlink ref="B289" r:id="rId_hyperlink_282" tooltip="Открыть карточку товара на сайте" display="Открыть карточку товара на сайте"/>
    <hyperlink ref="B290" r:id="rId_hyperlink_283" tooltip="Открыть карточку товара на сайте" display="Открыть карточку товара на сайте"/>
    <hyperlink ref="B291" r:id="rId_hyperlink_284" tooltip="Открыть карточку товара на сайте" display="Открыть карточку товара на сайте"/>
    <hyperlink ref="B292" r:id="rId_hyperlink_285" tooltip="Открыть карточку товара на сайте" display="Открыть карточку товара на сайте"/>
    <hyperlink ref="B293" r:id="rId_hyperlink_286" tooltip="Открыть карточку товара на сайте" display="Открыть карточку товара на сайте"/>
    <hyperlink ref="B294" r:id="rId_hyperlink_287" tooltip="Открыть карточку товара на сайте" display="Открыть карточку товара на сайте"/>
    <hyperlink ref="B295" r:id="rId_hyperlink_288" tooltip="Открыть карточку товара на сайте" display="Открыть карточку товара на сайте"/>
    <hyperlink ref="B296" r:id="rId_hyperlink_289" tooltip="Открыть карточку товара на сайте" display="Открыть карточку товара на сайте"/>
    <hyperlink ref="B297" r:id="rId_hyperlink_290" tooltip="Открыть карточку товара на сайте" display="Открыть карточку товара на сайте"/>
    <hyperlink ref="B298" r:id="rId_hyperlink_291" tooltip="Открыть карточку товара на сайте" display="Открыть карточку товара на сайте"/>
    <hyperlink ref="B299" r:id="rId_hyperlink_292" tooltip="Открыть карточку товара на сайте" display="Открыть карточку товара на сайте"/>
    <hyperlink ref="B300" r:id="rId_hyperlink_293" tooltip="Открыть карточку товара на сайте" display="Открыть карточку товара на сайте"/>
    <hyperlink ref="B301" r:id="rId_hyperlink_294" tooltip="Открыть карточку товара на сайте" display="Открыть карточку товара на сайте"/>
    <hyperlink ref="B302" r:id="rId_hyperlink_295" tooltip="Открыть карточку товара на сайте" display="Открыть карточку товара на сайте"/>
    <hyperlink ref="B303" r:id="rId_hyperlink_296" tooltip="Открыть карточку товара на сайте" display="Открыть карточку товара на сайте"/>
    <hyperlink ref="B304" r:id="rId_hyperlink_297" tooltip="Открыть карточку товара на сайте" display="Открыть карточку товара на сайте"/>
    <hyperlink ref="B305" r:id="rId_hyperlink_298" tooltip="Открыть карточку товара на сайте" display="Открыть карточку товара на сайте"/>
    <hyperlink ref="B306" r:id="rId_hyperlink_299" tooltip="Открыть карточку товара на сайте" display="Открыть карточку товара на сайте"/>
    <hyperlink ref="B307" r:id="rId_hyperlink_300" tooltip="Открыть карточку товара на сайте" display="Открыть карточку товара на сайте"/>
    <hyperlink ref="B308" r:id="rId_hyperlink_301" tooltip="Открыть карточку товара на сайте" display="Открыть карточку товара на сайте"/>
    <hyperlink ref="B309" r:id="rId_hyperlink_302" tooltip="Открыть карточку товара на сайте" display="Открыть карточку товара на сайте"/>
    <hyperlink ref="B310" r:id="rId_hyperlink_303" tooltip="Открыть карточку товара на сайте" display="Открыть карточку товара на сайте"/>
    <hyperlink ref="B311" r:id="rId_hyperlink_304" tooltip="Открыть карточку товара на сайте" display="Открыть карточку товара на сайте"/>
    <hyperlink ref="B312" r:id="rId_hyperlink_305" tooltip="Открыть карточку товара на сайте" display="Открыть карточку товара на сайте"/>
    <hyperlink ref="B313" r:id="rId_hyperlink_306" tooltip="Открыть карточку товара на сайте" display="Открыть карточку товара на сайте"/>
    <hyperlink ref="B314" r:id="rId_hyperlink_307" tooltip="Открыть карточку товара на сайте" display="Открыть карточку товара на сайте"/>
    <hyperlink ref="B315" r:id="rId_hyperlink_308" tooltip="Открыть карточку товара на сайте" display="Открыть карточку товара на сайте"/>
    <hyperlink ref="B316" r:id="rId_hyperlink_309" tooltip="Открыть карточку товара на сайте" display="Открыть карточку товара на сайте"/>
    <hyperlink ref="B317" r:id="rId_hyperlink_310" tooltip="Открыть карточку товара на сайте" display="Открыть карточку товара на сайте"/>
    <hyperlink ref="B318" r:id="rId_hyperlink_311" tooltip="Открыть карточку товара на сайте" display="Открыть карточку товара на сайте"/>
    <hyperlink ref="B319" r:id="rId_hyperlink_312" tooltip="Открыть карточку товара на сайте" display="Открыть карточку товара на сайте"/>
    <hyperlink ref="B320" r:id="rId_hyperlink_313" tooltip="Открыть карточку товара на сайте" display="Открыть карточку товара на сайте"/>
    <hyperlink ref="B321" r:id="rId_hyperlink_314" tooltip="Открыть карточку товара на сайте" display="Открыть карточку товара на сайте"/>
    <hyperlink ref="B322" r:id="rId_hyperlink_315" tooltip="Открыть карточку товара на сайте" display="Открыть карточку товара на сайте"/>
    <hyperlink ref="B323" r:id="rId_hyperlink_316" tooltip="Открыть карточку товара на сайте" display="Открыть карточку товара на сайте"/>
    <hyperlink ref="B324" r:id="rId_hyperlink_317" tooltip="Открыть карточку товара на сайте" display="Открыть карточку товара на сайте"/>
    <hyperlink ref="B325" r:id="rId_hyperlink_318" tooltip="Открыть карточку товара на сайте" display="Открыть карточку товара на сайте"/>
    <hyperlink ref="B326" r:id="rId_hyperlink_319" tooltip="Открыть карточку товара на сайте" display="Открыть карточку товара на сайте"/>
    <hyperlink ref="B327" r:id="rId_hyperlink_320" tooltip="Открыть карточку товара на сайте" display="Открыть карточку товара на сайте"/>
    <hyperlink ref="B328" r:id="rId_hyperlink_321" tooltip="Открыть карточку товара на сайте" display="Открыть карточку товара на сайте"/>
    <hyperlink ref="B329" r:id="rId_hyperlink_322" tooltip="Открыть карточку товара на сайте" display="Открыть карточку товара на сайте"/>
    <hyperlink ref="B330" r:id="rId_hyperlink_323" tooltip="Открыть карточку товара на сайте" display="Открыть карточку товара на сайте"/>
    <hyperlink ref="B331" r:id="rId_hyperlink_324" tooltip="Открыть карточку товара на сайте" display="Открыть карточку товара на сайте"/>
    <hyperlink ref="B332" r:id="rId_hyperlink_325" tooltip="Открыть карточку товара на сайте" display="Открыть карточку товара на сайте"/>
    <hyperlink ref="B333" r:id="rId_hyperlink_326" tooltip="Открыть карточку товара на сайте" display="Открыть карточку товара на сайте"/>
    <hyperlink ref="B334" r:id="rId_hyperlink_327" tooltip="Открыть карточку товара на сайте" display="Открыть карточку товара на сайте"/>
    <hyperlink ref="B335" r:id="rId_hyperlink_328" tooltip="Открыть карточку товара на сайте" display="Открыть карточку товара на сайте"/>
    <hyperlink ref="B336" r:id="rId_hyperlink_329" tooltip="Открыть карточку товара на сайте" display="Открыть карточку товара на сайте"/>
    <hyperlink ref="B337" r:id="rId_hyperlink_330" tooltip="Открыть карточку товара на сайте" display="Открыть карточку товара на сайте"/>
    <hyperlink ref="B338" r:id="rId_hyperlink_331" tooltip="Открыть карточку товара на сайте" display="Открыть карточку товара на сайте"/>
    <hyperlink ref="B339" r:id="rId_hyperlink_332" tooltip="Открыть карточку товара на сайте" display="Открыть карточку товара на сайте"/>
    <hyperlink ref="B340" r:id="rId_hyperlink_333" tooltip="Открыть карточку товара на сайте" display="Открыть карточку товара на сайте"/>
    <hyperlink ref="B341" r:id="rId_hyperlink_334" tooltip="Открыть карточку товара на сайте" display="Открыть карточку товара на сайте"/>
    <hyperlink ref="B342" r:id="rId_hyperlink_335" tooltip="Открыть карточку товара на сайте" display="Открыть карточку товара на сайте"/>
    <hyperlink ref="B343" r:id="rId_hyperlink_336" tooltip="Открыть карточку товара на сайте" display="Открыть карточку товара на сайте"/>
    <hyperlink ref="B344" r:id="rId_hyperlink_337" tooltip="Открыть карточку товара на сайте" display="Открыть карточку товара на сайте"/>
    <hyperlink ref="B345" r:id="rId_hyperlink_338" tooltip="Открыть карточку товара на сайте" display="Открыть карточку товара на сайте"/>
    <hyperlink ref="B346" r:id="rId_hyperlink_339" tooltip="Открыть карточку товара на сайте" display="Открыть карточку товара на сайте"/>
    <hyperlink ref="B347" r:id="rId_hyperlink_340" tooltip="Открыть карточку товара на сайте" display="Открыть карточку товара на сайте"/>
    <hyperlink ref="B348" r:id="rId_hyperlink_341" tooltip="Открыть карточку товара на сайте" display="Открыть карточку товара на сайте"/>
    <hyperlink ref="B349" r:id="rId_hyperlink_342" tooltip="Открыть карточку товара на сайте" display="Открыть карточку товара на сайте"/>
    <hyperlink ref="B350" r:id="rId_hyperlink_343" tooltip="Открыть карточку товара на сайте" display="Открыть карточку товара на сайте"/>
    <hyperlink ref="B351" r:id="rId_hyperlink_344" tooltip="Открыть карточку товара на сайте" display="Открыть карточку товара на сайте"/>
    <hyperlink ref="B352" r:id="rId_hyperlink_345" tooltip="Открыть карточку товара на сайте" display="Открыть карточку товара на сайте"/>
    <hyperlink ref="B353" r:id="rId_hyperlink_346" tooltip="Открыть карточку товара на сайте" display="Открыть карточку товара на сайте"/>
    <hyperlink ref="B354" r:id="rId_hyperlink_347" tooltip="Открыть карточку товара на сайте" display="Открыть карточку товара на сайте"/>
    <hyperlink ref="B355" r:id="rId_hyperlink_348" tooltip="Открыть карточку товара на сайте" display="Открыть карточку товара на сайте"/>
    <hyperlink ref="B356" r:id="rId_hyperlink_349" tooltip="Открыть карточку товара на сайте" display="Открыть карточку товара на сайте"/>
    <hyperlink ref="B357" r:id="rId_hyperlink_350" tooltip="Открыть карточку товара на сайте" display="Открыть карточку товара на сайте"/>
    <hyperlink ref="B358" r:id="rId_hyperlink_351" tooltip="Открыть карточку товара на сайте" display="Открыть карточку товара на сайте"/>
    <hyperlink ref="B359" r:id="rId_hyperlink_352" tooltip="Открыть карточку товара на сайте" display="Открыть карточку товара на сайте"/>
    <hyperlink ref="B360" r:id="rId_hyperlink_353" tooltip="Открыть карточку товара на сайте" display="Открыть карточку товара на сайте"/>
    <hyperlink ref="B361" r:id="rId_hyperlink_354" tooltip="Открыть карточку товара на сайте" display="Открыть карточку товара на сайте"/>
    <hyperlink ref="B362" r:id="rId_hyperlink_355" tooltip="Открыть карточку товара на сайте" display="Открыть карточку товара на сайте"/>
    <hyperlink ref="B363" r:id="rId_hyperlink_356" tooltip="Открыть карточку товара на сайте" display="Открыть карточку товара на сайте"/>
    <hyperlink ref="B364" r:id="rId_hyperlink_357" tooltip="Открыть карточку товара на сайте" display="Открыть карточку товара на сайте"/>
    <hyperlink ref="B365" r:id="rId_hyperlink_358" tooltip="Открыть карточку товара на сайте" display="Открыть карточку товара на сайте"/>
    <hyperlink ref="B366" r:id="rId_hyperlink_359" tooltip="Открыть карточку товара на сайте" display="Открыть карточку товара на сайте"/>
    <hyperlink ref="B367" r:id="rId_hyperlink_360" tooltip="Открыть карточку товара на сайте" display="Открыть карточку товара на сайте"/>
    <hyperlink ref="B368" r:id="rId_hyperlink_361" tooltip="Открыть карточку товара на сайте" display="Открыть карточку товара на сайте"/>
    <hyperlink ref="B369" r:id="rId_hyperlink_362" tooltip="Открыть карточку товара на сайте" display="Открыть карточку товара на сайте"/>
    <hyperlink ref="B370" r:id="rId_hyperlink_363" tooltip="Открыть карточку товара на сайте" display="Открыть карточку товара на сайте"/>
    <hyperlink ref="B371" r:id="rId_hyperlink_364" tooltip="Открыть карточку товара на сайте" display="Открыть карточку товара на сайте"/>
    <hyperlink ref="B372" r:id="rId_hyperlink_365" tooltip="Открыть карточку товара на сайте" display="Открыть карточку товара на сайте"/>
    <hyperlink ref="B373" r:id="rId_hyperlink_366" tooltip="Открыть карточку товара на сайте" display="Открыть карточку товара на сайте"/>
    <hyperlink ref="B374" r:id="rId_hyperlink_367" tooltip="Открыть карточку товара на сайте" display="Открыть карточку товара на сайте"/>
    <hyperlink ref="B375" r:id="rId_hyperlink_368" tooltip="Открыть карточку товара на сайте" display="Открыть карточку товара на сайте"/>
    <hyperlink ref="B376" r:id="rId_hyperlink_369" tooltip="Открыть карточку товара на сайте" display="Открыть карточку товара на сайте"/>
    <hyperlink ref="B377" r:id="rId_hyperlink_370" tooltip="Открыть карточку товара на сайте" display="Открыть карточку товара на сайте"/>
    <hyperlink ref="B378" r:id="rId_hyperlink_371" tooltip="Открыть карточку товара на сайте" display="Открыть карточку товара на сайте"/>
    <hyperlink ref="B379" r:id="rId_hyperlink_372" tooltip="Открыть карточку товара на сайте" display="Открыть карточку товара на сайте"/>
    <hyperlink ref="B380" r:id="rId_hyperlink_373" tooltip="Открыть карточку товара на сайте" display="Открыть карточку товара на сайте"/>
    <hyperlink ref="B381" r:id="rId_hyperlink_374" tooltip="Открыть карточку товара на сайте" display="Открыть карточку товара на сайте"/>
    <hyperlink ref="B382" r:id="rId_hyperlink_375" tooltip="Открыть карточку товара на сайте" display="Открыть карточку товара на сайте"/>
    <hyperlink ref="B383" r:id="rId_hyperlink_376" tooltip="Открыть карточку товара на сайте" display="Открыть карточку товара на сайте"/>
    <hyperlink ref="B384" r:id="rId_hyperlink_377" tooltip="Открыть карточку товара на сайте" display="Открыть карточку товара на сайте"/>
    <hyperlink ref="B385" r:id="rId_hyperlink_378" tooltip="Открыть карточку товара на сайте" display="Открыть карточку товара на сайте"/>
    <hyperlink ref="B386" r:id="rId_hyperlink_379" tooltip="Открыть карточку товара на сайте" display="Открыть карточку товара на сайте"/>
    <hyperlink ref="B387" r:id="rId_hyperlink_380" tooltip="Открыть карточку товара на сайте" display="Открыть карточку товара на сайте"/>
    <hyperlink ref="B388" r:id="rId_hyperlink_381" tooltip="Открыть карточку товара на сайте" display="Открыть карточку товара на сайте"/>
    <hyperlink ref="B389" r:id="rId_hyperlink_382" tooltip="Открыть карточку товара на сайте" display="Открыть карточку товара на сайте"/>
    <hyperlink ref="B390" r:id="rId_hyperlink_383" tooltip="Открыть карточку товара на сайте" display="Открыть карточку товара на сайте"/>
    <hyperlink ref="B391" r:id="rId_hyperlink_384" tooltip="Открыть карточку товара на сайте" display="Открыть карточку товара на сайте"/>
    <hyperlink ref="B392" r:id="rId_hyperlink_385" tooltip="Открыть карточку товара на сайте" display="Открыть карточку товара на сайте"/>
    <hyperlink ref="B393" r:id="rId_hyperlink_386" tooltip="Открыть карточку товара на сайте" display="Открыть карточку товара на сайте"/>
    <hyperlink ref="B394" r:id="rId_hyperlink_387" tooltip="Открыть карточку товара на сайте" display="Открыть карточку товара на сайте"/>
    <hyperlink ref="B395" r:id="rId_hyperlink_388" tooltip="Открыть карточку товара на сайте" display="Открыть карточку товара на сайте"/>
    <hyperlink ref="B396" r:id="rId_hyperlink_389" tooltip="Открыть карточку товара на сайте" display="Открыть карточку товара на сайте"/>
    <hyperlink ref="B397" r:id="rId_hyperlink_390" tooltip="Открыть карточку товара на сайте" display="Открыть карточку товара на сайте"/>
    <hyperlink ref="B398" r:id="rId_hyperlink_391" tooltip="Открыть карточку товара на сайте" display="Открыть карточку товара на сайте"/>
    <hyperlink ref="B399" r:id="rId_hyperlink_392" tooltip="Открыть карточку товара на сайте" display="Открыть карточку товара на сайте"/>
    <hyperlink ref="B400" r:id="rId_hyperlink_393" tooltip="Открыть карточку товара на сайте" display="Открыть карточку товара на сайте"/>
    <hyperlink ref="B401" r:id="rId_hyperlink_394" tooltip="Открыть карточку товара на сайте" display="Открыть карточку товара на сайте"/>
    <hyperlink ref="B402" r:id="rId_hyperlink_395" tooltip="Открыть карточку товара на сайте" display="Открыть карточку товара на сайте"/>
    <hyperlink ref="B403" r:id="rId_hyperlink_396" tooltip="Открыть карточку товара на сайте" display="Открыть карточку товара на сайте"/>
    <hyperlink ref="B404" r:id="rId_hyperlink_397" tooltip="Открыть карточку товара на сайте" display="Открыть карточку товара на сайте"/>
    <hyperlink ref="B405" r:id="rId_hyperlink_398" tooltip="Открыть карточку товара на сайте" display="Открыть карточку товара на сайте"/>
    <hyperlink ref="B406" r:id="rId_hyperlink_399" tooltip="Открыть карточку товара на сайте" display="Открыть карточку товара на сайте"/>
    <hyperlink ref="B407" r:id="rId_hyperlink_400" tooltip="Открыть карточку товара на сайте" display="Открыть карточку товара на сайте"/>
    <hyperlink ref="B408" r:id="rId_hyperlink_401" tooltip="Открыть карточку товара на сайте" display="Открыть карточку товара на сайте"/>
    <hyperlink ref="B409" r:id="rId_hyperlink_402" tooltip="Открыть карточку товара на сайте" display="Открыть карточку товара на сайте"/>
    <hyperlink ref="B410" r:id="rId_hyperlink_403" tooltip="Открыть карточку товара на сайте" display="Открыть карточку товара на сайте"/>
    <hyperlink ref="B411" r:id="rId_hyperlink_404" tooltip="Открыть карточку товара на сайте" display="Открыть карточку товара на сайте"/>
    <hyperlink ref="B412" r:id="rId_hyperlink_405" tooltip="Открыть карточку товара на сайте" display="Открыть карточку товара на сайте"/>
    <hyperlink ref="B413" r:id="rId_hyperlink_406" tooltip="Открыть карточку товара на сайте" display="Открыть карточку товара на сайте"/>
    <hyperlink ref="B414" r:id="rId_hyperlink_407" tooltip="Открыть карточку товара на сайте" display="Открыть карточку товара на сайте"/>
    <hyperlink ref="B415" r:id="rId_hyperlink_408" tooltip="Открыть карточку товара на сайте" display="Открыть карточку товара на сайте"/>
    <hyperlink ref="B416" r:id="rId_hyperlink_409" tooltip="Открыть карточку товара на сайте" display="Открыть карточку товара на сайте"/>
    <hyperlink ref="B417" r:id="rId_hyperlink_410" tooltip="Открыть карточку товара на сайте" display="Открыть карточку товара на сайте"/>
    <hyperlink ref="B418" r:id="rId_hyperlink_411" tooltip="Открыть карточку товара на сайте" display="Открыть карточку товара на сайте"/>
    <hyperlink ref="B419" r:id="rId_hyperlink_412" tooltip="Открыть карточку товара на сайте" display="Открыть карточку товара на сайте"/>
    <hyperlink ref="B420" r:id="rId_hyperlink_413" tooltip="Открыть карточку товара на сайте" display="Открыть карточку товара на сайте"/>
    <hyperlink ref="B421" r:id="rId_hyperlink_414" tooltip="Открыть карточку товара на сайте" display="Открыть карточку товара на сайте"/>
    <hyperlink ref="B422" r:id="rId_hyperlink_415" tooltip="Открыть карточку товара на сайте" display="Открыть карточку товара на сайте"/>
    <hyperlink ref="B423" r:id="rId_hyperlink_416" tooltip="Открыть карточку товара на сайте" display="Открыть карточку товара на сайте"/>
    <hyperlink ref="B424" r:id="rId_hyperlink_417" tooltip="Открыть карточку товара на сайте" display="Открыть карточку товара на сайте"/>
    <hyperlink ref="B425" r:id="rId_hyperlink_418" tooltip="Открыть карточку товара на сайте" display="Открыть карточку товара на сайте"/>
    <hyperlink ref="B426" r:id="rId_hyperlink_419" tooltip="Открыть карточку товара на сайте" display="Открыть карточку товара на сайте"/>
    <hyperlink ref="B427" r:id="rId_hyperlink_420" tooltip="Открыть карточку товара на сайте" display="Открыть карточку товара на сайте"/>
    <hyperlink ref="B428" r:id="rId_hyperlink_421" tooltip="Открыть карточку товара на сайте" display="Открыть карточку товара на сайте"/>
    <hyperlink ref="B429" r:id="rId_hyperlink_422" tooltip="Открыть карточку товара на сайте" display="Открыть карточку товара на сайте"/>
    <hyperlink ref="B430" r:id="rId_hyperlink_423" tooltip="Открыть карточку товара на сайте" display="Открыть карточку товара на сайте"/>
    <hyperlink ref="B431" r:id="rId_hyperlink_424" tooltip="Открыть карточку товара на сайте" display="Открыть карточку товара на сайте"/>
    <hyperlink ref="B432" r:id="rId_hyperlink_425" tooltip="Открыть карточку товара на сайте" display="Открыть карточку товара на сайте"/>
    <hyperlink ref="B433" r:id="rId_hyperlink_426" tooltip="Открыть карточку товара на сайте" display="Открыть карточку товара на сайте"/>
    <hyperlink ref="B434" r:id="rId_hyperlink_427" tooltip="Открыть карточку товара на сайте" display="Открыть карточку товара на сайте"/>
    <hyperlink ref="B435" r:id="rId_hyperlink_428" tooltip="Открыть карточку товара на сайте" display="Открыть карточку товара на сайте"/>
    <hyperlink ref="B436" r:id="rId_hyperlink_429" tooltip="Открыть карточку товара на сайте" display="Открыть карточку товара на сайте"/>
    <hyperlink ref="B437" r:id="rId_hyperlink_430" tooltip="Открыть карточку товара на сайте" display="Открыть карточку товара на сайте"/>
    <hyperlink ref="B438" r:id="rId_hyperlink_431" tooltip="Открыть карточку товара на сайте" display="Открыть карточку товара на сайте"/>
    <hyperlink ref="B439" r:id="rId_hyperlink_432" tooltip="Открыть карточку товара на сайте" display="Открыть карточку товара на сайте"/>
    <hyperlink ref="B440" r:id="rId_hyperlink_433" tooltip="Открыть карточку товара на сайте" display="Открыть карточку товара на сайте"/>
    <hyperlink ref="B441" r:id="rId_hyperlink_434" tooltip="Открыть карточку товара на сайте" display="Открыть карточку товара на сайте"/>
    <hyperlink ref="B442" r:id="rId_hyperlink_435" tooltip="Открыть карточку товара на сайте" display="Открыть карточку товара на сайте"/>
    <hyperlink ref="B443" r:id="rId_hyperlink_436" tooltip="Открыть карточку товара на сайте" display="Открыть карточку товара на сайте"/>
    <hyperlink ref="B444" r:id="rId_hyperlink_437" tooltip="Открыть карточку товара на сайте" display="Открыть карточку товара на сайте"/>
    <hyperlink ref="B445" r:id="rId_hyperlink_438" tooltip="Открыть карточку товара на сайте" display="Открыть карточку товара на сайте"/>
    <hyperlink ref="B446" r:id="rId_hyperlink_439" tooltip="Открыть карточку товара на сайте" display="Открыть карточку товара на сайте"/>
    <hyperlink ref="B447" r:id="rId_hyperlink_440" tooltip="Открыть карточку товара на сайте" display="Открыть карточку товара на сайте"/>
    <hyperlink ref="B448" r:id="rId_hyperlink_441" tooltip="Открыть карточку товара на сайте" display="Открыть карточку товара на сайте"/>
    <hyperlink ref="B449" r:id="rId_hyperlink_442" tooltip="Открыть карточку товара на сайте" display="Открыть карточку товара на сайте"/>
    <hyperlink ref="B450" r:id="rId_hyperlink_443" tooltip="Открыть карточку товара на сайте" display="Открыть карточку товара на сайте"/>
    <hyperlink ref="B451" r:id="rId_hyperlink_444" tooltip="Открыть карточку товара на сайте" display="Открыть карточку товара на сайте"/>
    <hyperlink ref="B452" r:id="rId_hyperlink_445" tooltip="Открыть карточку товара на сайте" display="Открыть карточку товара на сайте"/>
    <hyperlink ref="B453" r:id="rId_hyperlink_446" tooltip="Открыть карточку товара на сайте" display="Открыть карточку товара на сайте"/>
    <hyperlink ref="B454" r:id="rId_hyperlink_447" tooltip="Открыть карточку товара на сайте" display="Открыть карточку товара на сайте"/>
    <hyperlink ref="B455" r:id="rId_hyperlink_448" tooltip="Открыть карточку товара на сайте" display="Открыть карточку товара на сайте"/>
    <hyperlink ref="B456" r:id="rId_hyperlink_449" tooltip="Открыть карточку товара на сайте" display="Открыть карточку товара на сайте"/>
    <hyperlink ref="B457" r:id="rId_hyperlink_450" tooltip="Открыть карточку товара на сайте" display="Открыть карточку товара на сайте"/>
    <hyperlink ref="B458" r:id="rId_hyperlink_451" tooltip="Открыть карточку товара на сайте" display="Открыть карточку товара на сайте"/>
    <hyperlink ref="B459" r:id="rId_hyperlink_452" tooltip="Открыть карточку товара на сайте" display="Открыть карточку товара на сайте"/>
    <hyperlink ref="B460" r:id="rId_hyperlink_453" tooltip="Открыть карточку товара на сайте" display="Открыть карточку товара на сайте"/>
    <hyperlink ref="B461" r:id="rId_hyperlink_454" tooltip="Открыть карточку товара на сайте" display="Открыть карточку товара на сайте"/>
    <hyperlink ref="B462" r:id="rId_hyperlink_455" tooltip="Открыть карточку товара на сайте" display="Открыть карточку товара на сайте"/>
    <hyperlink ref="B463" r:id="rId_hyperlink_456" tooltip="Открыть карточку товара на сайте" display="Открыть карточку товара на сайте"/>
    <hyperlink ref="B464" r:id="rId_hyperlink_457" tooltip="Открыть карточку товара на сайте" display="Открыть карточку товара на сайте"/>
    <hyperlink ref="B465" r:id="rId_hyperlink_458" tooltip="Открыть карточку товара на сайте" display="Открыть карточку товара на сайте"/>
    <hyperlink ref="B466" r:id="rId_hyperlink_459" tooltip="Открыть карточку товара на сайте" display="Открыть карточку товара на сайте"/>
    <hyperlink ref="B467" r:id="rId_hyperlink_460" tooltip="Открыть карточку товара на сайте" display="Открыть карточку товара на сайте"/>
    <hyperlink ref="B468" r:id="rId_hyperlink_461" tooltip="Открыть карточку товара на сайте" display="Открыть карточку товара на сайте"/>
    <hyperlink ref="B469" r:id="rId_hyperlink_462" tooltip="Открыть карточку товара на сайте" display="Открыть карточку товара на сайте"/>
    <hyperlink ref="B470" r:id="rId_hyperlink_463" tooltip="Открыть карточку товара на сайте" display="Открыть карточку товара на сайте"/>
    <hyperlink ref="B471" r:id="rId_hyperlink_464" tooltip="Открыть карточку товара на сайте" display="Открыть карточку товара на сайте"/>
    <hyperlink ref="B472" r:id="rId_hyperlink_465" tooltip="Открыть карточку товара на сайте" display="Открыть карточку товара на сайте"/>
    <hyperlink ref="B473" r:id="rId_hyperlink_466" tooltip="Открыть карточку товара на сайте" display="Открыть карточку товара на сайте"/>
    <hyperlink ref="B474" r:id="rId_hyperlink_467" tooltip="Открыть карточку товара на сайте" display="Открыть карточку товара на сайте"/>
    <hyperlink ref="B475" r:id="rId_hyperlink_468" tooltip="Открыть карточку товара на сайте" display="Открыть карточку товара на сайте"/>
    <hyperlink ref="B476" r:id="rId_hyperlink_469" tooltip="Открыть карточку товара на сайте" display="Открыть карточку товара на сайте"/>
    <hyperlink ref="B477" r:id="rId_hyperlink_470" tooltip="Открыть карточку товара на сайте" display="Открыть карточку товара на сайте"/>
    <hyperlink ref="B478" r:id="rId_hyperlink_471" tooltip="Открыть карточку товара на сайте" display="Открыть карточку товара на сайте"/>
    <hyperlink ref="B479" r:id="rId_hyperlink_472" tooltip="Открыть карточку товара на сайте" display="Открыть карточку товара на сайте"/>
    <hyperlink ref="B480" r:id="rId_hyperlink_473" tooltip="Открыть карточку товара на сайте" display="Открыть карточку товара на сайте"/>
    <hyperlink ref="B481" r:id="rId_hyperlink_474" tooltip="Открыть карточку товара на сайте" display="Открыть карточку товара на сайте"/>
    <hyperlink ref="B482" r:id="rId_hyperlink_475" tooltip="Открыть карточку товара на сайте" display="Открыть карточку товара на сайте"/>
    <hyperlink ref="B483" r:id="rId_hyperlink_476" tooltip="Открыть карточку товара на сайте" display="Открыть карточку товара на сайте"/>
    <hyperlink ref="B484" r:id="rId_hyperlink_477" tooltip="Открыть карточку товара на сайте" display="Открыть карточку товара на сайте"/>
    <hyperlink ref="B485" r:id="rId_hyperlink_478" tooltip="Открыть карточку товара на сайте" display="Открыть карточку товара на сайте"/>
    <hyperlink ref="B486" r:id="rId_hyperlink_479" tooltip="Открыть карточку товара на сайте" display="Открыть карточку товара на сайте"/>
    <hyperlink ref="B487" r:id="rId_hyperlink_480" tooltip="Открыть карточку товара на сайте" display="Открыть карточку товара на сайте"/>
    <hyperlink ref="B488" r:id="rId_hyperlink_481" tooltip="Открыть карточку товара на сайте" display="Открыть карточку товара на сайте"/>
    <hyperlink ref="B489" r:id="rId_hyperlink_482" tooltip="Открыть карточку товара на сайте" display="Открыть карточку товара на сайте"/>
    <hyperlink ref="B490" r:id="rId_hyperlink_483" tooltip="Открыть карточку товара на сайте" display="Открыть карточку товара на сайте"/>
    <hyperlink ref="B491" r:id="rId_hyperlink_484" tooltip="Открыть карточку товара на сайте" display="Открыть карточку товара на сайте"/>
    <hyperlink ref="B492" r:id="rId_hyperlink_485" tooltip="Открыть карточку товара на сайте" display="Открыть карточку товара на сайте"/>
    <hyperlink ref="B493" r:id="rId_hyperlink_486" tooltip="Открыть карточку товара на сайте" display="Открыть карточку товара на сайте"/>
    <hyperlink ref="B494" r:id="rId_hyperlink_487" tooltip="Открыть карточку товара на сайте" display="Открыть карточку товара на сайте"/>
    <hyperlink ref="B495" r:id="rId_hyperlink_488" tooltip="Открыть карточку товара на сайте" display="Открыть карточку товара на сайте"/>
    <hyperlink ref="B496" r:id="rId_hyperlink_489" tooltip="Открыть карточку товара на сайте" display="Открыть карточку товара на сайте"/>
    <hyperlink ref="B497" r:id="rId_hyperlink_490" tooltip="Открыть карточку товара на сайте" display="Открыть карточку товара на сайте"/>
    <hyperlink ref="B498" r:id="rId_hyperlink_491" tooltip="Открыть карточку товара на сайте" display="Открыть карточку товара на сайте"/>
    <hyperlink ref="B499" r:id="rId_hyperlink_492" tooltip="Открыть карточку товара на сайте" display="Открыть карточку товара на сайте"/>
    <hyperlink ref="B500" r:id="rId_hyperlink_493" tooltip="Открыть карточку товара на сайте" display="Открыть карточку товара на сайте"/>
    <hyperlink ref="B501" r:id="rId_hyperlink_494" tooltip="Открыть карточку товара на сайте" display="Открыть карточку товара на сайте"/>
    <hyperlink ref="B502" r:id="rId_hyperlink_495" tooltip="Открыть карточку товара на сайте" display="Открыть карточку товара на сайте"/>
    <hyperlink ref="B503" r:id="rId_hyperlink_496" tooltip="Открыть карточку товара на сайте" display="Открыть карточку товара на сайте"/>
    <hyperlink ref="B504" r:id="rId_hyperlink_497" tooltip="Открыть карточку товара на сайте" display="Открыть карточку товара на сайте"/>
    <hyperlink ref="B505" r:id="rId_hyperlink_498" tooltip="Открыть карточку товара на сайте" display="Открыть карточку товара на сайте"/>
    <hyperlink ref="B506" r:id="rId_hyperlink_499" tooltip="Открыть карточку товара на сайте" display="Открыть карточку товара на сайте"/>
    <hyperlink ref="B507" r:id="rId_hyperlink_500" tooltip="Открыть карточку товара на сайте" display="Открыть карточку товара на сайте"/>
    <hyperlink ref="B509" r:id="rId_hyperlink_501" tooltip="Открыть карточку товара на сайте" display="Открыть карточку товара на сайте"/>
    <hyperlink ref="B510" r:id="rId_hyperlink_502" tooltip="Открыть карточку товара на сайте" display="Открыть карточку товара на сайте"/>
    <hyperlink ref="B511" r:id="rId_hyperlink_503" tooltip="Открыть карточку товара на сайте" display="Открыть карточку товара на сайте"/>
    <hyperlink ref="B512" r:id="rId_hyperlink_504" tooltip="Открыть карточку товара на сайте" display="Открыть карточку товара на сайте"/>
    <hyperlink ref="B513" r:id="rId_hyperlink_505" tooltip="Открыть карточку товара на сайте" display="Открыть карточку товара на сайте"/>
    <hyperlink ref="B514" r:id="rId_hyperlink_506" tooltip="Открыть карточку товара на сайте" display="Открыть карточку товара на сайте"/>
    <hyperlink ref="B515" r:id="rId_hyperlink_507" tooltip="Открыть карточку товара на сайте" display="Открыть карточку товара на сайте"/>
    <hyperlink ref="B516" r:id="rId_hyperlink_508" tooltip="Открыть карточку товара на сайте" display="Открыть карточку товара на сайте"/>
    <hyperlink ref="B517" r:id="rId_hyperlink_509" tooltip="Открыть карточку товара на сайте" display="Открыть карточку товара на сайте"/>
    <hyperlink ref="B518" r:id="rId_hyperlink_510" tooltip="Открыть карточку товара на сайте" display="Открыть карточку товара на сайте"/>
    <hyperlink ref="B519" r:id="rId_hyperlink_511" tooltip="Открыть карточку товара на сайте" display="Открыть карточку товара на сайте"/>
    <hyperlink ref="B520" r:id="rId_hyperlink_512" tooltip="Открыть карточку товара на сайте" display="Открыть карточку товара на сайте"/>
    <hyperlink ref="B521" r:id="rId_hyperlink_513" tooltip="Открыть карточку товара на сайте" display="Открыть карточку товара на сайте"/>
    <hyperlink ref="B522" r:id="rId_hyperlink_514" tooltip="Открыть карточку товара на сайте" display="Открыть карточку товара на сайте"/>
    <hyperlink ref="B523" r:id="rId_hyperlink_515" tooltip="Открыть карточку товара на сайте" display="Открыть карточку товара на сайте"/>
    <hyperlink ref="B524" r:id="rId_hyperlink_516" tooltip="Открыть карточку товара на сайте" display="Открыть карточку товара на сайте"/>
    <hyperlink ref="B525" r:id="rId_hyperlink_517" tooltip="Открыть карточку товара на сайте" display="Открыть карточку товара на сайте"/>
    <hyperlink ref="B526" r:id="rId_hyperlink_518" tooltip="Открыть карточку товара на сайте" display="Открыть карточку товара на сайте"/>
    <hyperlink ref="B527" r:id="rId_hyperlink_519" tooltip="Открыть карточку товара на сайте" display="Открыть карточку товара на сайте"/>
    <hyperlink ref="B528" r:id="rId_hyperlink_520" tooltip="Открыть карточку товара на сайте" display="Открыть карточку товара на сайте"/>
    <hyperlink ref="B529" r:id="rId_hyperlink_521" tooltip="Открыть карточку товара на сайте" display="Открыть карточку товара на сайте"/>
    <hyperlink ref="B530" r:id="rId_hyperlink_522" tooltip="Открыть карточку товара на сайте" display="Открыть карточку товара на сайте"/>
    <hyperlink ref="B531" r:id="rId_hyperlink_523" tooltip="Открыть карточку товара на сайте" display="Открыть карточку товара на сайте"/>
    <hyperlink ref="B532" r:id="rId_hyperlink_524" tooltip="Открыть карточку товара на сайте" display="Открыть карточку товара на сайте"/>
    <hyperlink ref="B533" r:id="rId_hyperlink_525" tooltip="Открыть карточку товара на сайте" display="Открыть карточку товара на сайте"/>
    <hyperlink ref="B534" r:id="rId_hyperlink_526" tooltip="Открыть карточку товара на сайте" display="Открыть карточку товара на сайте"/>
    <hyperlink ref="B535" r:id="rId_hyperlink_527" tooltip="Открыть карточку товара на сайте" display="Открыть карточку товара на сайте"/>
    <hyperlink ref="B536" r:id="rId_hyperlink_528" tooltip="Открыть карточку товара на сайте" display="Открыть карточку товара на сайте"/>
    <hyperlink ref="B537" r:id="rId_hyperlink_529" tooltip="Открыть карточку товара на сайте" display="Открыть карточку товара на сайте"/>
    <hyperlink ref="B538" r:id="rId_hyperlink_530" tooltip="Открыть карточку товара на сайте" display="Открыть карточку товара на сайте"/>
    <hyperlink ref="B539" r:id="rId_hyperlink_531" tooltip="Открыть карточку товара на сайте" display="Открыть карточку товара на сайте"/>
    <hyperlink ref="B540" r:id="rId_hyperlink_532" tooltip="Открыть карточку товара на сайте" display="Открыть карточку товара на сайте"/>
    <hyperlink ref="B541" r:id="rId_hyperlink_533" tooltip="Открыть карточку товара на сайте" display="Открыть карточку товара на сайте"/>
    <hyperlink ref="B542" r:id="rId_hyperlink_534" tooltip="Открыть карточку товара на сайте" display="Открыть карточку товара на сайте"/>
    <hyperlink ref="B543" r:id="rId_hyperlink_535" tooltip="Открыть карточку товара на сайте" display="Открыть карточку товара на сайте"/>
    <hyperlink ref="B544" r:id="rId_hyperlink_536" tooltip="Открыть карточку товара на сайте" display="Открыть карточку товара на сайте"/>
    <hyperlink ref="B545" r:id="rId_hyperlink_537" tooltip="Открыть карточку товара на сайте" display="Открыть карточку товара на сайте"/>
    <hyperlink ref="B546" r:id="rId_hyperlink_538" tooltip="Открыть карточку товара на сайте" display="Открыть карточку товара на сайте"/>
    <hyperlink ref="B547" r:id="rId_hyperlink_539" tooltip="Открыть карточку товара на сайте" display="Открыть карточку товара на сайте"/>
    <hyperlink ref="B548" r:id="rId_hyperlink_540" tooltip="Открыть карточку товара на сайте" display="Открыть карточку товара на сайте"/>
    <hyperlink ref="B549" r:id="rId_hyperlink_541" tooltip="Открыть карточку товара на сайте" display="Открыть карточку товара на сайте"/>
    <hyperlink ref="B550" r:id="rId_hyperlink_542" tooltip="Открыть карточку товара на сайте" display="Открыть карточку товара на сайте"/>
    <hyperlink ref="B551" r:id="rId_hyperlink_543" tooltip="Открыть карточку товара на сайте" display="Открыть карточку товара на сайте"/>
    <hyperlink ref="B552" r:id="rId_hyperlink_544" tooltip="Открыть карточку товара на сайте" display="Открыть карточку товара на сайте"/>
    <hyperlink ref="B553" r:id="rId_hyperlink_545" tooltip="Открыть карточку товара на сайте" display="Открыть карточку товара на сайте"/>
    <hyperlink ref="B554" r:id="rId_hyperlink_546" tooltip="Открыть карточку товара на сайте" display="Открыть карточку товара на сайте"/>
    <hyperlink ref="B555" r:id="rId_hyperlink_547" tooltip="Открыть карточку товара на сайте" display="Открыть карточку товара на сайте"/>
    <hyperlink ref="B556" r:id="rId_hyperlink_548" tooltip="Открыть карточку товара на сайте" display="Открыть карточку товара на сайте"/>
    <hyperlink ref="B557" r:id="rId_hyperlink_549" tooltip="Открыть карточку товара на сайте" display="Открыть карточку товара на сайте"/>
    <hyperlink ref="B558" r:id="rId_hyperlink_550" tooltip="Открыть карточку товара на сайте" display="Открыть карточку товара на сайте"/>
    <hyperlink ref="B559" r:id="rId_hyperlink_551" tooltip="Открыть карточку товара на сайте" display="Открыть карточку товара на сайте"/>
    <hyperlink ref="B560" r:id="rId_hyperlink_552" tooltip="Открыть карточку товара на сайте" display="Открыть карточку товара на сайте"/>
    <hyperlink ref="B561" r:id="rId_hyperlink_553" tooltip="Открыть карточку товара на сайте" display="Открыть карточку товара на сайте"/>
    <hyperlink ref="B562" r:id="rId_hyperlink_554" tooltip="Открыть карточку товара на сайте" display="Открыть карточку товара на сайте"/>
    <hyperlink ref="B563" r:id="rId_hyperlink_555" tooltip="Открыть карточку товара на сайте" display="Открыть карточку товара на сайте"/>
    <hyperlink ref="B564" r:id="rId_hyperlink_556" tooltip="Открыть карточку товара на сайте" display="Открыть карточку товара на сайте"/>
    <hyperlink ref="B565" r:id="rId_hyperlink_557" tooltip="Открыть карточку товара на сайте" display="Открыть карточку товара на сайте"/>
    <hyperlink ref="B566" r:id="rId_hyperlink_558" tooltip="Открыть карточку товара на сайте" display="Открыть карточку товара на сайте"/>
    <hyperlink ref="B567" r:id="rId_hyperlink_559" tooltip="Открыть карточку товара на сайте" display="Открыть карточку товара на сайте"/>
    <hyperlink ref="B568" r:id="rId_hyperlink_560" tooltip="Открыть карточку товара на сайте" display="Открыть карточку товара на сайте"/>
    <hyperlink ref="B569" r:id="rId_hyperlink_561" tooltip="Открыть карточку товара на сайте" display="Открыть карточку товара на сайте"/>
    <hyperlink ref="B570" r:id="rId_hyperlink_562" tooltip="Открыть карточку товара на сайте" display="Открыть карточку товара на сайте"/>
    <hyperlink ref="B571" r:id="rId_hyperlink_563" tooltip="Открыть карточку товара на сайте" display="Открыть карточку товара на сайте"/>
    <hyperlink ref="B572" r:id="rId_hyperlink_564" tooltip="Открыть карточку товара на сайте" display="Открыть карточку товара на сайте"/>
    <hyperlink ref="B573" r:id="rId_hyperlink_565" tooltip="Открыть карточку товара на сайте" display="Открыть карточку товара на сайте"/>
    <hyperlink ref="B574" r:id="rId_hyperlink_566" tooltip="Открыть карточку товара на сайте" display="Открыть карточку товара на сайте"/>
    <hyperlink ref="B575" r:id="rId_hyperlink_567" tooltip="Открыть карточку товара на сайте" display="Открыть карточку товара на сайте"/>
    <hyperlink ref="B576" r:id="rId_hyperlink_568" tooltip="Открыть карточку товара на сайте" display="Открыть карточку товара на сайте"/>
    <hyperlink ref="B577" r:id="rId_hyperlink_569" tooltip="Открыть карточку товара на сайте" display="Открыть карточку товара на сайте"/>
    <hyperlink ref="B578" r:id="rId_hyperlink_570" tooltip="Открыть карточку товара на сайте" display="Открыть карточку товара на сайте"/>
    <hyperlink ref="B579" r:id="rId_hyperlink_571" tooltip="Открыть карточку товара на сайте" display="Открыть карточку товара на сайте"/>
    <hyperlink ref="B580" r:id="rId_hyperlink_572" tooltip="Открыть карточку товара на сайте" display="Открыть карточку товара на сайте"/>
    <hyperlink ref="B581" r:id="rId_hyperlink_573" tooltip="Открыть карточку товара на сайте" display="Открыть карточку товара на сайте"/>
    <hyperlink ref="B582" r:id="rId_hyperlink_574" tooltip="Открыть карточку товара на сайте" display="Открыть карточку товара на сайте"/>
    <hyperlink ref="B583" r:id="rId_hyperlink_575" tooltip="Открыть карточку товара на сайте" display="Открыть карточку товара на сайте"/>
    <hyperlink ref="B584" r:id="rId_hyperlink_576" tooltip="Открыть карточку товара на сайте" display="Открыть карточку товара на сайте"/>
    <hyperlink ref="B585" r:id="rId_hyperlink_577" tooltip="Открыть карточку товара на сайте" display="Открыть карточку товара на сайте"/>
    <hyperlink ref="B586" r:id="rId_hyperlink_578" tooltip="Открыть карточку товара на сайте" display="Открыть карточку товара на сайте"/>
    <hyperlink ref="B587" r:id="rId_hyperlink_579" tooltip="Открыть карточку товара на сайте" display="Открыть карточку товара на сайте"/>
    <hyperlink ref="B588" r:id="rId_hyperlink_580" tooltip="Открыть карточку товара на сайте" display="Открыть карточку товара на сайте"/>
    <hyperlink ref="B589" r:id="rId_hyperlink_581" tooltip="Открыть карточку товара на сайте" display="Открыть карточку товара на сайте"/>
    <hyperlink ref="B590" r:id="rId_hyperlink_582" tooltip="Открыть карточку товара на сайте" display="Открыть карточку товара на сайте"/>
    <hyperlink ref="B591" r:id="rId_hyperlink_583" tooltip="Открыть карточку товара на сайте" display="Открыть карточку товара на сайте"/>
    <hyperlink ref="B592" r:id="rId_hyperlink_584" tooltip="Открыть карточку товара на сайте" display="Открыть карточку товара на сайте"/>
    <hyperlink ref="B593" r:id="rId_hyperlink_585" tooltip="Открыть карточку товара на сайте" display="Открыть карточку товара на сайте"/>
    <hyperlink ref="B594" r:id="rId_hyperlink_586" tooltip="Открыть карточку товара на сайте" display="Открыть карточку товара на сайте"/>
    <hyperlink ref="B595" r:id="rId_hyperlink_587" tooltip="Открыть карточку товара на сайте" display="Открыть карточку товара на сайте"/>
    <hyperlink ref="B596" r:id="rId_hyperlink_588" tooltip="Открыть карточку товара на сайте" display="Открыть карточку товара на сайте"/>
    <hyperlink ref="B597" r:id="rId_hyperlink_589" tooltip="Открыть карточку товара на сайте" display="Открыть карточку товара на сайте"/>
    <hyperlink ref="B598" r:id="rId_hyperlink_590" tooltip="Открыть карточку товара на сайте" display="Открыть карточку товара на сайте"/>
    <hyperlink ref="B599" r:id="rId_hyperlink_591" tooltip="Открыть карточку товара на сайте" display="Открыть карточку товара на сайте"/>
    <hyperlink ref="B600" r:id="rId_hyperlink_592" tooltip="Открыть карточку товара на сайте" display="Открыть карточку товара на сайте"/>
    <hyperlink ref="B601" r:id="rId_hyperlink_593" tooltip="Открыть карточку товара на сайте" display="Открыть карточку товара на сайте"/>
    <hyperlink ref="B602" r:id="rId_hyperlink_594" tooltip="Открыть карточку товара на сайте" display="Открыть карточку товара на сайте"/>
    <hyperlink ref="B603" r:id="rId_hyperlink_595" tooltip="Открыть карточку товара на сайте" display="Открыть карточку товара на сайте"/>
    <hyperlink ref="B604" r:id="rId_hyperlink_596" tooltip="Открыть карточку товара на сайте" display="Открыть карточку товара на сайте"/>
    <hyperlink ref="B605" r:id="rId_hyperlink_597" tooltip="Открыть карточку товара на сайте" display="Открыть карточку товара на сайте"/>
    <hyperlink ref="B606" r:id="rId_hyperlink_598" tooltip="Открыть карточку товара на сайте" display="Открыть карточку товара на сайте"/>
    <hyperlink ref="B607" r:id="rId_hyperlink_599" tooltip="Открыть карточку товара на сайте" display="Открыть карточку товара на сайте"/>
    <hyperlink ref="B608" r:id="rId_hyperlink_600" tooltip="Открыть карточку товара на сайте" display="Открыть карточку товара на сайте"/>
    <hyperlink ref="B609" r:id="rId_hyperlink_601" tooltip="Открыть карточку товара на сайте" display="Открыть карточку товара на сайте"/>
    <hyperlink ref="B610" r:id="rId_hyperlink_602" tooltip="Открыть карточку товара на сайте" display="Открыть карточку товара на сайте"/>
    <hyperlink ref="B611" r:id="rId_hyperlink_603" tooltip="Открыть карточку товара на сайте" display="Открыть карточку товара на сайте"/>
    <hyperlink ref="B612" r:id="rId_hyperlink_604" tooltip="Открыть карточку товара на сайте" display="Открыть карточку товара на сайте"/>
    <hyperlink ref="B613" r:id="rId_hyperlink_605" tooltip="Открыть карточку товара на сайте" display="Открыть карточку товара на сайте"/>
    <hyperlink ref="B614" r:id="rId_hyperlink_606" tooltip="Открыть карточку товара на сайте" display="Открыть карточку товара на сайте"/>
    <hyperlink ref="B615" r:id="rId_hyperlink_607" tooltip="Открыть карточку товара на сайте" display="Открыть карточку товара на сайте"/>
    <hyperlink ref="B616" r:id="rId_hyperlink_608" tooltip="Открыть карточку товара на сайте" display="Открыть карточку товара на сайте"/>
    <hyperlink ref="B617" r:id="rId_hyperlink_609" tooltip="Открыть карточку товара на сайте" display="Открыть карточку товара на сайте"/>
    <hyperlink ref="B618" r:id="rId_hyperlink_610" tooltip="Открыть карточку товара на сайте" display="Открыть карточку товара на сайте"/>
    <hyperlink ref="B619" r:id="rId_hyperlink_611" tooltip="Открыть карточку товара на сайте" display="Открыть карточку товара на сайте"/>
    <hyperlink ref="B620" r:id="rId_hyperlink_612" tooltip="Открыть карточку товара на сайте" display="Открыть карточку товара на сайте"/>
    <hyperlink ref="B621" r:id="rId_hyperlink_613" tooltip="Открыть карточку товара на сайте" display="Открыть карточку товара на сайте"/>
    <hyperlink ref="B622" r:id="rId_hyperlink_614" tooltip="Открыть карточку товара на сайте" display="Открыть карточку товара на сайте"/>
    <hyperlink ref="B623" r:id="rId_hyperlink_615" tooltip="Открыть карточку товара на сайте" display="Открыть карточку товара на сайте"/>
    <hyperlink ref="B624" r:id="rId_hyperlink_616" tooltip="Открыть карточку товара на сайте" display="Открыть карточку товара на сайте"/>
    <hyperlink ref="B625" r:id="rId_hyperlink_617" tooltip="Открыть карточку товара на сайте" display="Открыть карточку товара на сайте"/>
    <hyperlink ref="B626" r:id="rId_hyperlink_618" tooltip="Открыть карточку товара на сайте" display="Открыть карточку товара на сайте"/>
    <hyperlink ref="B627" r:id="rId_hyperlink_619" tooltip="Открыть карточку товара на сайте" display="Открыть карточку товара на сайте"/>
    <hyperlink ref="B628" r:id="rId_hyperlink_620" tooltip="Открыть карточку товара на сайте" display="Открыть карточку товара на сайте"/>
    <hyperlink ref="B629" r:id="rId_hyperlink_621" tooltip="Открыть карточку товара на сайте" display="Открыть карточку товара на сайте"/>
    <hyperlink ref="B630" r:id="rId_hyperlink_622" tooltip="Открыть карточку товара на сайте" display="Открыть карточку товара на сайте"/>
    <hyperlink ref="B631" r:id="rId_hyperlink_623" tooltip="Открыть карточку товара на сайте" display="Открыть карточку товара на сайте"/>
    <hyperlink ref="B632" r:id="rId_hyperlink_624" tooltip="Открыть карточку товара на сайте" display="Открыть карточку товара на сайте"/>
    <hyperlink ref="B633" r:id="rId_hyperlink_625" tooltip="Открыть карточку товара на сайте" display="Открыть карточку товара на сайте"/>
    <hyperlink ref="B634" r:id="rId_hyperlink_626" tooltip="Открыть карточку товара на сайте" display="Открыть карточку товара на сайте"/>
    <hyperlink ref="B635" r:id="rId_hyperlink_627" tooltip="Открыть карточку товара на сайте" display="Открыть карточку товара на сайте"/>
    <hyperlink ref="B636" r:id="rId_hyperlink_628" tooltip="Открыть карточку товара на сайте" display="Открыть карточку товара на сайте"/>
    <hyperlink ref="B637" r:id="rId_hyperlink_629" tooltip="Открыть карточку товара на сайте" display="Открыть карточку товара на сайте"/>
    <hyperlink ref="B638" r:id="rId_hyperlink_630" tooltip="Открыть карточку товара на сайте" display="Открыть карточку товара на сайте"/>
    <hyperlink ref="B639" r:id="rId_hyperlink_631" tooltip="Открыть карточку товара на сайте" display="Открыть карточку товара на сайте"/>
    <hyperlink ref="B640" r:id="rId_hyperlink_632" tooltip="Открыть карточку товара на сайте" display="Открыть карточку товара на сайте"/>
    <hyperlink ref="B641" r:id="rId_hyperlink_633" tooltip="Открыть карточку товара на сайте" display="Открыть карточку товара на сайте"/>
    <hyperlink ref="B642" r:id="rId_hyperlink_634" tooltip="Открыть карточку товара на сайте" display="Открыть карточку товара на сайте"/>
    <hyperlink ref="B643" r:id="rId_hyperlink_635" tooltip="Открыть карточку товара на сайте" display="Открыть карточку товара на сайте"/>
    <hyperlink ref="B644" r:id="rId_hyperlink_636" tooltip="Открыть карточку товара на сайте" display="Открыть карточку товара на сайте"/>
    <hyperlink ref="B645" r:id="rId_hyperlink_637" tooltip="Открыть карточку товара на сайте" display="Открыть карточку товара на сайте"/>
    <hyperlink ref="B646" r:id="rId_hyperlink_638" tooltip="Открыть карточку товара на сайте" display="Открыть карточку товара на сайте"/>
    <hyperlink ref="B647" r:id="rId_hyperlink_639" tooltip="Открыть карточку товара на сайте" display="Открыть карточку товара на сайте"/>
    <hyperlink ref="B648" r:id="rId_hyperlink_640" tooltip="Открыть карточку товара на сайте" display="Открыть карточку товара на сайте"/>
    <hyperlink ref="B649" r:id="rId_hyperlink_641" tooltip="Открыть карточку товара на сайте" display="Открыть карточку товара на сайте"/>
    <hyperlink ref="B650" r:id="rId_hyperlink_642" tooltip="Открыть карточку товара на сайте" display="Открыть карточку товара на сайте"/>
    <hyperlink ref="B652" r:id="rId_hyperlink_643" tooltip="Открыть карточку товара на сайте" display="Открыть карточку товара на сайте"/>
    <hyperlink ref="B653" r:id="rId_hyperlink_644" tooltip="Открыть карточку товара на сайте" display="Открыть карточку товара на сайте"/>
    <hyperlink ref="B654" r:id="rId_hyperlink_645" tooltip="Открыть карточку товара на сайте" display="Открыть карточку товара на сайте"/>
    <hyperlink ref="B655" r:id="rId_hyperlink_646" tooltip="Открыть карточку товара на сайте" display="Открыть карточку товара на сайте"/>
    <hyperlink ref="B656" r:id="rId_hyperlink_647" tooltip="Открыть карточку товара на сайте" display="Открыть карточку товара на сайте"/>
    <hyperlink ref="B657" r:id="rId_hyperlink_648" tooltip="Открыть карточку товара на сайте" display="Открыть карточку товара на сайте"/>
    <hyperlink ref="B658" r:id="rId_hyperlink_649" tooltip="Открыть карточку товара на сайте" display="Открыть карточку товара на сайте"/>
    <hyperlink ref="B659" r:id="rId_hyperlink_650" tooltip="Открыть карточку товара на сайте" display="Открыть карточку товара на сайте"/>
    <hyperlink ref="B660" r:id="rId_hyperlink_651" tooltip="Открыть карточку товара на сайте" display="Открыть карточку товара на сайте"/>
    <hyperlink ref="B661" r:id="rId_hyperlink_652" tooltip="Открыть карточку товара на сайте" display="Открыть карточку товара на сайте"/>
    <hyperlink ref="B662" r:id="rId_hyperlink_653" tooltip="Открыть карточку товара на сайте" display="Открыть карточку товара на сайте"/>
    <hyperlink ref="B663" r:id="rId_hyperlink_654" tooltip="Открыть карточку товара на сайте" display="Открыть карточку товара на сайте"/>
    <hyperlink ref="B664" r:id="rId_hyperlink_655" tooltip="Открыть карточку товара на сайте" display="Открыть карточку товара на сайте"/>
    <hyperlink ref="B665" r:id="rId_hyperlink_656" tooltip="Открыть карточку товара на сайте" display="Открыть карточку товара на сайте"/>
    <hyperlink ref="B666" r:id="rId_hyperlink_657" tooltip="Открыть карточку товара на сайте" display="Открыть карточку товара на сайте"/>
    <hyperlink ref="B667" r:id="rId_hyperlink_658" tooltip="Открыть карточку товара на сайте" display="Открыть карточку товара на сайте"/>
    <hyperlink ref="B668" r:id="rId_hyperlink_659" tooltip="Открыть карточку товара на сайте" display="Открыть карточку товара на сайте"/>
    <hyperlink ref="B669" r:id="rId_hyperlink_660" tooltip="Открыть карточку товара на сайте" display="Открыть карточку товара на сайте"/>
    <hyperlink ref="B670" r:id="rId_hyperlink_661" tooltip="Открыть карточку товара на сайте" display="Открыть карточку товара на сайте"/>
    <hyperlink ref="B671" r:id="rId_hyperlink_662" tooltip="Открыть карточку товара на сайте" display="Открыть карточку товара на сайте"/>
    <hyperlink ref="B672" r:id="rId_hyperlink_663" tooltip="Открыть карточку товара на сайте" display="Открыть карточку товара на сайте"/>
    <hyperlink ref="B673" r:id="rId_hyperlink_664" tooltip="Открыть карточку товара на сайте" display="Открыть карточку товара на сайте"/>
    <hyperlink ref="B674" r:id="rId_hyperlink_665" tooltip="Открыть карточку товара на сайте" display="Открыть карточку товара на сайте"/>
    <hyperlink ref="B675" r:id="rId_hyperlink_666" tooltip="Открыть карточку товара на сайте" display="Открыть карточку товара на сайте"/>
    <hyperlink ref="B676" r:id="rId_hyperlink_667" tooltip="Открыть карточку товара на сайте" display="Открыть карточку товара на сайте"/>
    <hyperlink ref="B677" r:id="rId_hyperlink_668" tooltip="Открыть карточку товара на сайте" display="Открыть карточку товара на сайте"/>
    <hyperlink ref="B678" r:id="rId_hyperlink_669" tooltip="Открыть карточку товара на сайте" display="Открыть карточку товара на сайте"/>
    <hyperlink ref="B679" r:id="rId_hyperlink_670" tooltip="Открыть карточку товара на сайте" display="Открыть карточку товара на сайте"/>
    <hyperlink ref="B680" r:id="rId_hyperlink_671" tooltip="Открыть карточку товара на сайте" display="Открыть карточку товара на сайте"/>
    <hyperlink ref="B681" r:id="rId_hyperlink_672" tooltip="Открыть карточку товара на сайте" display="Открыть карточку товара на сайте"/>
    <hyperlink ref="B682" r:id="rId_hyperlink_673" tooltip="Открыть карточку товара на сайте" display="Открыть карточку товара на сайте"/>
    <hyperlink ref="B683" r:id="rId_hyperlink_674" tooltip="Открыть карточку товара на сайте" display="Открыть карточку товара на сайте"/>
    <hyperlink ref="B684" r:id="rId_hyperlink_675" tooltip="Открыть карточку товара на сайте" display="Открыть карточку товара на сайте"/>
    <hyperlink ref="B685" r:id="rId_hyperlink_676" tooltip="Открыть карточку товара на сайте" display="Открыть карточку товара на сайте"/>
    <hyperlink ref="B686" r:id="rId_hyperlink_677" tooltip="Открыть карточку товара на сайте" display="Открыть карточку товара на сайте"/>
    <hyperlink ref="B687" r:id="rId_hyperlink_678" tooltip="Открыть карточку товара на сайте" display="Открыть карточку товара на сайте"/>
    <hyperlink ref="B688" r:id="rId_hyperlink_679" tooltip="Открыть карточку товара на сайте" display="Открыть карточку товара на сайте"/>
    <hyperlink ref="B689" r:id="rId_hyperlink_680" tooltip="Открыть карточку товара на сайте" display="Открыть карточку товара на сайте"/>
    <hyperlink ref="B690" r:id="rId_hyperlink_681" tooltip="Открыть карточку товара на сайте" display="Открыть карточку товара на сайте"/>
    <hyperlink ref="B691" r:id="rId_hyperlink_682" tooltip="Открыть карточку товара на сайте" display="Открыть карточку товара на сайте"/>
    <hyperlink ref="B692" r:id="rId_hyperlink_683" tooltip="Открыть карточку товара на сайте" display="Открыть карточку товара на сайте"/>
    <hyperlink ref="B693" r:id="rId_hyperlink_684" tooltip="Открыть карточку товара на сайте" display="Открыть карточку товара на сайте"/>
    <hyperlink ref="B694" r:id="rId_hyperlink_685" tooltip="Открыть карточку товара на сайте" display="Открыть карточку товара на сайте"/>
    <hyperlink ref="B695" r:id="rId_hyperlink_686" tooltip="Открыть карточку товара на сайте" display="Открыть карточку товара на сайте"/>
    <hyperlink ref="B696" r:id="rId_hyperlink_687" tooltip="Открыть карточку товара на сайте" display="Открыть карточку товара на сайте"/>
    <hyperlink ref="B697" r:id="rId_hyperlink_688" tooltip="Открыть карточку товара на сайте" display="Открыть карточку товара на сайте"/>
    <hyperlink ref="B698" r:id="rId_hyperlink_689" tooltip="Открыть карточку товара на сайте" display="Открыть карточку товара на сайте"/>
    <hyperlink ref="B699" r:id="rId_hyperlink_690" tooltip="Открыть карточку товара на сайте" display="Открыть карточку товара на сайте"/>
    <hyperlink ref="B700" r:id="rId_hyperlink_691" tooltip="Открыть карточку товара на сайте" display="Открыть карточку товара на сайте"/>
    <hyperlink ref="B701" r:id="rId_hyperlink_692" tooltip="Открыть карточку товара на сайте" display="Открыть карточку товара на сайте"/>
    <hyperlink ref="B702" r:id="rId_hyperlink_693" tooltip="Открыть карточку товара на сайте" display="Открыть карточку товара на сайте"/>
    <hyperlink ref="B703" r:id="rId_hyperlink_694" tooltip="Открыть карточку товара на сайте" display="Открыть карточку товара на сайте"/>
    <hyperlink ref="B704" r:id="rId_hyperlink_695" tooltip="Открыть карточку товара на сайте" display="Открыть карточку товара на сайте"/>
    <hyperlink ref="B705" r:id="rId_hyperlink_696" tooltip="Открыть карточку товара на сайте" display="Открыть карточку товара на сайте"/>
    <hyperlink ref="B706" r:id="rId_hyperlink_697" tooltip="Открыть карточку товара на сайте" display="Открыть карточку товара на сайте"/>
    <hyperlink ref="B707" r:id="rId_hyperlink_698" tooltip="Открыть карточку товара на сайте" display="Открыть карточку товара на сайте"/>
    <hyperlink ref="B708" r:id="rId_hyperlink_699" tooltip="Открыть карточку товара на сайте" display="Открыть карточку товара на сайте"/>
    <hyperlink ref="B709" r:id="rId_hyperlink_700" tooltip="Открыть карточку товара на сайте" display="Открыть карточку товара на сайте"/>
    <hyperlink ref="B710" r:id="rId_hyperlink_701" tooltip="Открыть карточку товара на сайте" display="Открыть карточку товара на сайте"/>
    <hyperlink ref="B711" r:id="rId_hyperlink_702" tooltip="Открыть карточку товара на сайте" display="Открыть карточку товара на сайте"/>
    <hyperlink ref="B712" r:id="rId_hyperlink_703" tooltip="Открыть карточку товара на сайте" display="Открыть карточку товара на сайте"/>
    <hyperlink ref="B713" r:id="rId_hyperlink_704" tooltip="Открыть карточку товара на сайте" display="Открыть карточку товара на сайте"/>
    <hyperlink ref="B714" r:id="rId_hyperlink_705" tooltip="Открыть карточку товара на сайте" display="Открыть карточку товара на сайте"/>
    <hyperlink ref="B715" r:id="rId_hyperlink_706" tooltip="Открыть карточку товара на сайте" display="Открыть карточку товара на сайте"/>
    <hyperlink ref="B716" r:id="rId_hyperlink_707" tooltip="Открыть карточку товара на сайте" display="Открыть карточку товара на сайте"/>
    <hyperlink ref="B717" r:id="rId_hyperlink_708" tooltip="Открыть карточку товара на сайте" display="Открыть карточку товара на сайте"/>
    <hyperlink ref="B718" r:id="rId_hyperlink_709" tooltip="Открыть карточку товара на сайте" display="Открыть карточку товара на сайте"/>
    <hyperlink ref="B719" r:id="rId_hyperlink_710" tooltip="Открыть карточку товара на сайте" display="Открыть карточку товара на сайте"/>
    <hyperlink ref="B720" r:id="rId_hyperlink_711" tooltip="Открыть карточку товара на сайте" display="Открыть карточку товара на сайте"/>
    <hyperlink ref="B721" r:id="rId_hyperlink_712" tooltip="Открыть карточку товара на сайте" display="Открыть карточку товара на сайте"/>
    <hyperlink ref="B722" r:id="rId_hyperlink_713" tooltip="Открыть карточку товара на сайте" display="Открыть карточку товара на сайте"/>
    <hyperlink ref="B723" r:id="rId_hyperlink_714" tooltip="Открыть карточку товара на сайте" display="Открыть карточку товара на сайте"/>
    <hyperlink ref="B724" r:id="rId_hyperlink_715" tooltip="Открыть карточку товара на сайте" display="Открыть карточку товара на сайте"/>
    <hyperlink ref="B725" r:id="rId_hyperlink_716" tooltip="Открыть карточку товара на сайте" display="Открыть карточку товара на сайте"/>
    <hyperlink ref="B726" r:id="rId_hyperlink_717" tooltip="Открыть карточку товара на сайте" display="Открыть карточку товара на сайте"/>
    <hyperlink ref="B727" r:id="rId_hyperlink_718" tooltip="Открыть карточку товара на сайте" display="Открыть карточку товара на сайте"/>
    <hyperlink ref="B728" r:id="rId_hyperlink_719" tooltip="Открыть карточку товара на сайте" display="Открыть карточку товара на сайте"/>
    <hyperlink ref="B729" r:id="rId_hyperlink_720" tooltip="Открыть карточку товара на сайте" display="Открыть карточку товара на сайте"/>
    <hyperlink ref="B730" r:id="rId_hyperlink_721" tooltip="Открыть карточку товара на сайте" display="Открыть карточку товара на сайте"/>
    <hyperlink ref="B731" r:id="rId_hyperlink_722" tooltip="Открыть карточку товара на сайте" display="Открыть карточку товара на сайте"/>
    <hyperlink ref="B732" r:id="rId_hyperlink_723" tooltip="Открыть карточку товара на сайте" display="Открыть карточку товара на сайте"/>
    <hyperlink ref="B733" r:id="rId_hyperlink_724" tooltip="Открыть карточку товара на сайте" display="Открыть карточку товара на сайте"/>
    <hyperlink ref="B734" r:id="rId_hyperlink_725" tooltip="Открыть карточку товара на сайте" display="Открыть карточку товара на сайте"/>
    <hyperlink ref="B735" r:id="rId_hyperlink_726" tooltip="Открыть карточку товара на сайте" display="Открыть карточку товара на сайте"/>
    <hyperlink ref="B736" r:id="rId_hyperlink_727" tooltip="Открыть карточку товара на сайте" display="Открыть карточку товара на сайте"/>
    <hyperlink ref="B737" r:id="rId_hyperlink_728" tooltip="Открыть карточку товара на сайте" display="Открыть карточку товара на сайте"/>
    <hyperlink ref="B738" r:id="rId_hyperlink_729" tooltip="Открыть карточку товара на сайте" display="Открыть карточку товара на сайте"/>
    <hyperlink ref="B739" r:id="rId_hyperlink_730" tooltip="Открыть карточку товара на сайте" display="Открыть карточку товара на сайте"/>
    <hyperlink ref="B740" r:id="rId_hyperlink_731" tooltip="Открыть карточку товара на сайте" display="Открыть карточку товара на сайте"/>
    <hyperlink ref="B741" r:id="rId_hyperlink_732" tooltip="Открыть карточку товара на сайте" display="Открыть карточку товара на сайте"/>
    <hyperlink ref="B742" r:id="rId_hyperlink_733" tooltip="Открыть карточку товара на сайте" display="Открыть карточку товара на сайте"/>
    <hyperlink ref="B743" r:id="rId_hyperlink_734" tooltip="Открыть карточку товара на сайте" display="Открыть карточку товара на сайте"/>
    <hyperlink ref="B744" r:id="rId_hyperlink_735" tooltip="Открыть карточку товара на сайте" display="Открыть карточку товара на сайте"/>
    <hyperlink ref="B745" r:id="rId_hyperlink_736" tooltip="Открыть карточку товара на сайте" display="Открыть карточку товара на сайте"/>
    <hyperlink ref="B746" r:id="rId_hyperlink_737" tooltip="Открыть карточку товара на сайте" display="Открыть карточку товара на сайте"/>
    <hyperlink ref="B748" r:id="rId_hyperlink_738" tooltip="Открыть карточку товара на сайте" display="Открыть карточку товара на сайте"/>
    <hyperlink ref="B749" r:id="rId_hyperlink_739" tooltip="Открыть карточку товара на сайте" display="Открыть карточку товара на сайте"/>
    <hyperlink ref="B750" r:id="rId_hyperlink_740" tooltip="Открыть карточку товара на сайте" display="Открыть карточку товара на сайте"/>
    <hyperlink ref="B751" r:id="rId_hyperlink_741" tooltip="Открыть карточку товара на сайте" display="Открыть карточку товара на сайте"/>
    <hyperlink ref="B752" r:id="rId_hyperlink_742" tooltip="Открыть карточку товара на сайте" display="Открыть карточку товара на сайте"/>
    <hyperlink ref="B753" r:id="rId_hyperlink_743" tooltip="Открыть карточку товара на сайте" display="Открыть карточку товара на сайте"/>
    <hyperlink ref="B754" r:id="rId_hyperlink_744" tooltip="Открыть карточку товара на сайте" display="Открыть карточку товара на сайте"/>
    <hyperlink ref="B755" r:id="rId_hyperlink_745" tooltip="Открыть карточку товара на сайте" display="Открыть карточку товара на сайте"/>
    <hyperlink ref="B756" r:id="rId_hyperlink_746" tooltip="Открыть карточку товара на сайте" display="Открыть карточку товара на сайте"/>
    <hyperlink ref="B757" r:id="rId_hyperlink_747" tooltip="Открыть карточку товара на сайте" display="Открыть карточку товара на сайте"/>
    <hyperlink ref="B758" r:id="rId_hyperlink_748" tooltip="Открыть карточку товара на сайте" display="Открыть карточку товара на сайте"/>
    <hyperlink ref="B759" r:id="rId_hyperlink_749" tooltip="Открыть карточку товара на сайте" display="Открыть карточку товара на сайте"/>
    <hyperlink ref="B760" r:id="rId_hyperlink_750" tooltip="Открыть карточку товара на сайте" display="Открыть карточку товара на сайте"/>
    <hyperlink ref="B761" r:id="rId_hyperlink_751" tooltip="Открыть карточку товара на сайте" display="Открыть карточку товара на сайте"/>
    <hyperlink ref="B762" r:id="rId_hyperlink_752" tooltip="Открыть карточку товара на сайте" display="Открыть карточку товара на сайте"/>
    <hyperlink ref="B763" r:id="rId_hyperlink_753" tooltip="Открыть карточку товара на сайте" display="Открыть карточку товара на сайте"/>
    <hyperlink ref="B764" r:id="rId_hyperlink_754" tooltip="Открыть карточку товара на сайте" display="Открыть карточку товара на сайте"/>
    <hyperlink ref="B765" r:id="rId_hyperlink_755" tooltip="Открыть карточку товара на сайте" display="Открыть карточку товара на сайте"/>
    <hyperlink ref="B766" r:id="rId_hyperlink_756" tooltip="Открыть карточку товара на сайте" display="Открыть карточку товара на сайте"/>
    <hyperlink ref="B767" r:id="rId_hyperlink_757" tooltip="Открыть карточку товара на сайте" display="Открыть карточку товара на сайте"/>
    <hyperlink ref="B768" r:id="rId_hyperlink_758" tooltip="Открыть карточку товара на сайте" display="Открыть карточку товара на сайте"/>
    <hyperlink ref="B769" r:id="rId_hyperlink_759" tooltip="Открыть карточку товара на сайте" display="Открыть карточку товара на сайте"/>
    <hyperlink ref="B770" r:id="rId_hyperlink_760" tooltip="Открыть карточку товара на сайте" display="Открыть карточку товара на сайте"/>
    <hyperlink ref="B771" r:id="rId_hyperlink_761" tooltip="Открыть карточку товара на сайте" display="Открыть карточку товара на сайте"/>
    <hyperlink ref="B772" r:id="rId_hyperlink_762" tooltip="Открыть карточку товара на сайте" display="Открыть карточку товара на сайте"/>
    <hyperlink ref="B773" r:id="rId_hyperlink_763" tooltip="Открыть карточку товара на сайте" display="Открыть карточку товара на сайте"/>
    <hyperlink ref="B774" r:id="rId_hyperlink_764" tooltip="Открыть карточку товара на сайте" display="Открыть карточку товара на сайте"/>
    <hyperlink ref="B775" r:id="rId_hyperlink_765" tooltip="Открыть карточку товара на сайте" display="Открыть карточку товара на сайте"/>
    <hyperlink ref="B776" r:id="rId_hyperlink_766" tooltip="Открыть карточку товара на сайте" display="Открыть карточку товара на сайте"/>
    <hyperlink ref="B777" r:id="rId_hyperlink_767" tooltip="Открыть карточку товара на сайте" display="Открыть карточку товара на сайте"/>
    <hyperlink ref="B778" r:id="rId_hyperlink_768" tooltip="Открыть карточку товара на сайте" display="Открыть карточку товара на сайте"/>
    <hyperlink ref="B779" r:id="rId_hyperlink_769" tooltip="Открыть карточку товара на сайте" display="Открыть карточку товара на сайте"/>
    <hyperlink ref="B780" r:id="rId_hyperlink_770" tooltip="Открыть карточку товара на сайте" display="Открыть карточку товара на сайте"/>
    <hyperlink ref="B781" r:id="rId_hyperlink_771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779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</cols>
  <sheetData>
    <row r="1" spans="1:11" customHeight="1" ht="28">
      <c r="A1" s="53" t="s">
        <v>2320</v>
      </c>
    </row>
    <row r="2" spans="1:11" customHeight="1" ht="26">
      <c r="A2" s="54" t="s">
        <v>2321</v>
      </c>
    </row>
    <row r="3" spans="1:11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1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1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1" customHeight="1" ht="22">
      <c r="A6" s="55" t="s">
        <v>2322</v>
      </c>
      <c r="B6" s="56"/>
      <c r="C6" s="57" t="str">
        <f>'Прайс и заказ'!K783</f>
      </c>
      <c r="D6" s="58" t="s">
        <v>2316</v>
      </c>
      <c r="E6" s="56"/>
      <c r="F6" s="57" t="str">
        <f>'Прайс и заказ'!K784</f>
      </c>
      <c r="G6" s="58" t="s">
        <v>2317</v>
      </c>
      <c r="H6" s="56"/>
      <c r="I6" s="59" t="str">
        <f>'Прайс и заказ'!K785</f>
      </c>
    </row>
    <row r="8" spans="1:11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2323</v>
      </c>
      <c r="G8" s="60" t="s">
        <v>24</v>
      </c>
      <c r="H8" s="60" t="s">
        <v>25</v>
      </c>
      <c r="I8" s="60" t="s">
        <v>5</v>
      </c>
      <c r="J8" s="40" t="s">
        <v>2318</v>
      </c>
    </row>
    <row r="9" spans="1:11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заказ'!$N$7:$N$781,0)+6,0)</f>
      </c>
      <c r="K9" s="65" t="str">
        <f>IF($J9=0,"← Пока ничего не выбрано — заполните колонку «Заказать» на листе «Прайс и заказ»","")</f>
      </c>
    </row>
    <row r="10" spans="1:11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заказ'!$N$7:$N$781,0)+6,0)</f>
      </c>
    </row>
    <row r="11" spans="1:11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заказ'!$N$7:$N$781,0)+6,0)</f>
      </c>
    </row>
    <row r="12" spans="1:11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заказ'!$N$7:$N$781,0)+6,0)</f>
      </c>
    </row>
    <row r="13" spans="1:11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заказ'!$N$7:$N$781,0)+6,0)</f>
      </c>
    </row>
    <row r="14" spans="1:11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заказ'!$N$7:$N$781,0)+6,0)</f>
      </c>
    </row>
    <row r="15" spans="1:11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заказ'!$N$7:$N$781,0)+6,0)</f>
      </c>
    </row>
    <row r="16" spans="1:11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заказ'!$N$7:$N$781,0)+6,0)</f>
      </c>
    </row>
    <row r="17" spans="1:11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заказ'!$N$7:$N$781,0)+6,0)</f>
      </c>
    </row>
    <row r="18" spans="1:11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заказ'!$N$7:$N$781,0)+6,0)</f>
      </c>
    </row>
    <row r="19" spans="1:11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заказ'!$N$7:$N$781,0)+6,0)</f>
      </c>
    </row>
    <row r="20" spans="1:11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заказ'!$N$7:$N$781,0)+6,0)</f>
      </c>
    </row>
    <row r="21" spans="1:11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заказ'!$N$7:$N$781,0)+6,0)</f>
      </c>
    </row>
    <row r="22" spans="1:11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заказ'!$N$7:$N$781,0)+6,0)</f>
      </c>
    </row>
    <row r="23" spans="1:11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заказ'!$N$7:$N$781,0)+6,0)</f>
      </c>
    </row>
    <row r="24" spans="1:11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заказ'!$N$7:$N$781,0)+6,0)</f>
      </c>
    </row>
    <row r="25" spans="1:11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заказ'!$N$7:$N$781,0)+6,0)</f>
      </c>
    </row>
    <row r="26" spans="1:11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заказ'!$N$7:$N$781,0)+6,0)</f>
      </c>
    </row>
    <row r="27" spans="1:11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заказ'!$N$7:$N$781,0)+6,0)</f>
      </c>
    </row>
    <row r="28" spans="1:11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заказ'!$N$7:$N$781,0)+6,0)</f>
      </c>
    </row>
    <row r="29" spans="1:11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заказ'!$N$7:$N$781,0)+6,0)</f>
      </c>
    </row>
    <row r="30" spans="1:11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заказ'!$N$7:$N$781,0)+6,0)</f>
      </c>
    </row>
    <row r="31" spans="1:11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заказ'!$N$7:$N$781,0)+6,0)</f>
      </c>
    </row>
    <row r="32" spans="1:11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заказ'!$N$7:$N$781,0)+6,0)</f>
      </c>
    </row>
    <row r="33" spans="1:11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заказ'!$N$7:$N$781,0)+6,0)</f>
      </c>
    </row>
    <row r="34" spans="1:11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заказ'!$N$7:$N$781,0)+6,0)</f>
      </c>
    </row>
    <row r="35" spans="1:11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заказ'!$N$7:$N$781,0)+6,0)</f>
      </c>
    </row>
    <row r="36" spans="1:11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заказ'!$N$7:$N$781,0)+6,0)</f>
      </c>
    </row>
    <row r="37" spans="1:11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заказ'!$N$7:$N$781,0)+6,0)</f>
      </c>
    </row>
    <row r="38" spans="1:11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заказ'!$N$7:$N$781,0)+6,0)</f>
      </c>
    </row>
    <row r="39" spans="1:11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заказ'!$N$7:$N$781,0)+6,0)</f>
      </c>
    </row>
    <row r="40" spans="1:11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заказ'!$N$7:$N$781,0)+6,0)</f>
      </c>
    </row>
    <row r="41" spans="1:11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заказ'!$N$7:$N$781,0)+6,0)</f>
      </c>
    </row>
    <row r="42" spans="1:11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заказ'!$N$7:$N$781,0)+6,0)</f>
      </c>
    </row>
    <row r="43" spans="1:11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заказ'!$N$7:$N$781,0)+6,0)</f>
      </c>
    </row>
    <row r="44" spans="1:11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заказ'!$N$7:$N$781,0)+6,0)</f>
      </c>
    </row>
    <row r="45" spans="1:11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заказ'!$N$7:$N$781,0)+6,0)</f>
      </c>
    </row>
    <row r="46" spans="1:11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заказ'!$N$7:$N$781,0)+6,0)</f>
      </c>
    </row>
    <row r="47" spans="1:11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заказ'!$N$7:$N$781,0)+6,0)</f>
      </c>
    </row>
    <row r="48" spans="1:11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заказ'!$N$7:$N$781,0)+6,0)</f>
      </c>
    </row>
    <row r="49" spans="1:11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заказ'!$N$7:$N$781,0)+6,0)</f>
      </c>
    </row>
    <row r="50" spans="1:11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заказ'!$N$7:$N$781,0)+6,0)</f>
      </c>
    </row>
    <row r="51" spans="1:11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заказ'!$N$7:$N$781,0)+6,0)</f>
      </c>
    </row>
    <row r="52" spans="1:11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заказ'!$N$7:$N$781,0)+6,0)</f>
      </c>
    </row>
    <row r="53" spans="1:11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заказ'!$N$7:$N$781,0)+6,0)</f>
      </c>
    </row>
    <row r="54" spans="1:11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заказ'!$N$7:$N$781,0)+6,0)</f>
      </c>
    </row>
    <row r="55" spans="1:11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заказ'!$N$7:$N$781,0)+6,0)</f>
      </c>
    </row>
    <row r="56" spans="1:11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заказ'!$N$7:$N$781,0)+6,0)</f>
      </c>
    </row>
    <row r="57" spans="1:11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заказ'!$N$7:$N$781,0)+6,0)</f>
      </c>
    </row>
    <row r="58" spans="1:11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заказ'!$N$7:$N$781,0)+6,0)</f>
      </c>
    </row>
    <row r="59" spans="1:11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заказ'!$N$7:$N$781,0)+6,0)</f>
      </c>
    </row>
    <row r="60" spans="1:11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заказ'!$N$7:$N$781,0)+6,0)</f>
      </c>
    </row>
    <row r="61" spans="1:11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заказ'!$N$7:$N$781,0)+6,0)</f>
      </c>
    </row>
    <row r="62" spans="1:11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заказ'!$N$7:$N$781,0)+6,0)</f>
      </c>
    </row>
    <row r="63" spans="1:11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заказ'!$N$7:$N$781,0)+6,0)</f>
      </c>
    </row>
    <row r="64" spans="1:11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заказ'!$N$7:$N$781,0)+6,0)</f>
      </c>
    </row>
    <row r="65" spans="1:11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заказ'!$N$7:$N$781,0)+6,0)</f>
      </c>
    </row>
    <row r="66" spans="1:11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заказ'!$N$7:$N$781,0)+6,0)</f>
      </c>
    </row>
    <row r="67" spans="1:11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заказ'!$N$7:$N$781,0)+6,0)</f>
      </c>
    </row>
    <row r="68" spans="1:11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заказ'!$N$7:$N$781,0)+6,0)</f>
      </c>
    </row>
    <row r="69" spans="1:11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заказ'!$N$7:$N$781,0)+6,0)</f>
      </c>
    </row>
    <row r="70" spans="1:11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заказ'!$N$7:$N$781,0)+6,0)</f>
      </c>
    </row>
    <row r="71" spans="1:11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заказ'!$N$7:$N$781,0)+6,0)</f>
      </c>
    </row>
    <row r="72" spans="1:11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заказ'!$N$7:$N$781,0)+6,0)</f>
      </c>
    </row>
    <row r="73" spans="1:11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заказ'!$N$7:$N$781,0)+6,0)</f>
      </c>
    </row>
    <row r="74" spans="1:11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заказ'!$N$7:$N$781,0)+6,0)</f>
      </c>
    </row>
    <row r="75" spans="1:11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заказ'!$N$7:$N$781,0)+6,0)</f>
      </c>
    </row>
    <row r="76" spans="1:11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заказ'!$N$7:$N$781,0)+6,0)</f>
      </c>
    </row>
    <row r="77" spans="1:11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заказ'!$N$7:$N$781,0)+6,0)</f>
      </c>
    </row>
    <row r="78" spans="1:11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заказ'!$N$7:$N$781,0)+6,0)</f>
      </c>
    </row>
    <row r="79" spans="1:11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заказ'!$N$7:$N$781,0)+6,0)</f>
      </c>
    </row>
    <row r="80" spans="1:11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заказ'!$N$7:$N$781,0)+6,0)</f>
      </c>
    </row>
    <row r="81" spans="1:11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заказ'!$N$7:$N$781,0)+6,0)</f>
      </c>
    </row>
    <row r="82" spans="1:11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заказ'!$N$7:$N$781,0)+6,0)</f>
      </c>
    </row>
    <row r="83" spans="1:11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заказ'!$N$7:$N$781,0)+6,0)</f>
      </c>
    </row>
    <row r="84" spans="1:11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заказ'!$N$7:$N$781,0)+6,0)</f>
      </c>
    </row>
    <row r="85" spans="1:11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заказ'!$N$7:$N$781,0)+6,0)</f>
      </c>
    </row>
    <row r="86" spans="1:11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заказ'!$N$7:$N$781,0)+6,0)</f>
      </c>
    </row>
    <row r="87" spans="1:11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заказ'!$N$7:$N$781,0)+6,0)</f>
      </c>
    </row>
    <row r="88" spans="1:11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заказ'!$N$7:$N$781,0)+6,0)</f>
      </c>
    </row>
    <row r="89" spans="1:11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заказ'!$N$7:$N$781,0)+6,0)</f>
      </c>
    </row>
    <row r="90" spans="1:11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заказ'!$N$7:$N$781,0)+6,0)</f>
      </c>
    </row>
    <row r="91" spans="1:11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заказ'!$N$7:$N$781,0)+6,0)</f>
      </c>
    </row>
    <row r="92" spans="1:11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заказ'!$N$7:$N$781,0)+6,0)</f>
      </c>
    </row>
    <row r="93" spans="1:11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заказ'!$N$7:$N$781,0)+6,0)</f>
      </c>
    </row>
    <row r="94" spans="1:11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заказ'!$N$7:$N$781,0)+6,0)</f>
      </c>
    </row>
    <row r="95" spans="1:11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заказ'!$N$7:$N$781,0)+6,0)</f>
      </c>
    </row>
    <row r="96" spans="1:11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заказ'!$N$7:$N$781,0)+6,0)</f>
      </c>
    </row>
    <row r="97" spans="1:11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заказ'!$N$7:$N$781,0)+6,0)</f>
      </c>
    </row>
    <row r="98" spans="1:11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заказ'!$N$7:$N$781,0)+6,0)</f>
      </c>
    </row>
    <row r="99" spans="1:11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заказ'!$N$7:$N$781,0)+6,0)</f>
      </c>
    </row>
    <row r="100" spans="1:11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заказ'!$N$7:$N$781,0)+6,0)</f>
      </c>
    </row>
    <row r="101" spans="1:11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заказ'!$N$7:$N$781,0)+6,0)</f>
      </c>
    </row>
    <row r="102" spans="1:11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заказ'!$N$7:$N$781,0)+6,0)</f>
      </c>
    </row>
    <row r="103" spans="1:11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заказ'!$N$7:$N$781,0)+6,0)</f>
      </c>
    </row>
    <row r="104" spans="1:11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заказ'!$N$7:$N$781,0)+6,0)</f>
      </c>
    </row>
    <row r="105" spans="1:11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заказ'!$N$7:$N$781,0)+6,0)</f>
      </c>
    </row>
    <row r="106" spans="1:11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заказ'!$N$7:$N$781,0)+6,0)</f>
      </c>
    </row>
    <row r="107" spans="1:11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заказ'!$N$7:$N$781,0)+6,0)</f>
      </c>
    </row>
    <row r="108" spans="1:11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заказ'!$N$7:$N$781,0)+6,0)</f>
      </c>
    </row>
    <row r="109" spans="1:11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заказ'!$N$7:$N$781,0)+6,0)</f>
      </c>
    </row>
    <row r="110" spans="1:11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заказ'!$N$7:$N$781,0)+6,0)</f>
      </c>
    </row>
    <row r="111" spans="1:11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заказ'!$N$7:$N$781,0)+6,0)</f>
      </c>
    </row>
    <row r="112" spans="1:11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заказ'!$N$7:$N$781,0)+6,0)</f>
      </c>
    </row>
    <row r="113" spans="1:11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заказ'!$N$7:$N$781,0)+6,0)</f>
      </c>
    </row>
    <row r="114" spans="1:11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заказ'!$N$7:$N$781,0)+6,0)</f>
      </c>
    </row>
    <row r="115" spans="1:11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заказ'!$N$7:$N$781,0)+6,0)</f>
      </c>
    </row>
    <row r="116" spans="1:11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заказ'!$N$7:$N$781,0)+6,0)</f>
      </c>
    </row>
    <row r="117" spans="1:11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заказ'!$N$7:$N$781,0)+6,0)</f>
      </c>
    </row>
    <row r="118" spans="1:11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заказ'!$N$7:$N$781,0)+6,0)</f>
      </c>
    </row>
    <row r="119" spans="1:11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заказ'!$N$7:$N$781,0)+6,0)</f>
      </c>
    </row>
    <row r="120" spans="1:11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заказ'!$N$7:$N$781,0)+6,0)</f>
      </c>
    </row>
    <row r="121" spans="1:11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заказ'!$N$7:$N$781,0)+6,0)</f>
      </c>
    </row>
    <row r="122" spans="1:11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заказ'!$N$7:$N$781,0)+6,0)</f>
      </c>
    </row>
    <row r="123" spans="1:11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заказ'!$N$7:$N$781,0)+6,0)</f>
      </c>
    </row>
    <row r="124" spans="1:11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заказ'!$N$7:$N$781,0)+6,0)</f>
      </c>
    </row>
    <row r="125" spans="1:11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заказ'!$N$7:$N$781,0)+6,0)</f>
      </c>
    </row>
    <row r="126" spans="1:11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заказ'!$N$7:$N$781,0)+6,0)</f>
      </c>
    </row>
    <row r="127" spans="1:11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заказ'!$N$7:$N$781,0)+6,0)</f>
      </c>
    </row>
    <row r="128" spans="1:11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заказ'!$N$7:$N$781,0)+6,0)</f>
      </c>
    </row>
    <row r="129" spans="1:11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заказ'!$N$7:$N$781,0)+6,0)</f>
      </c>
    </row>
    <row r="130" spans="1:11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заказ'!$N$7:$N$781,0)+6,0)</f>
      </c>
    </row>
    <row r="131" spans="1:11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заказ'!$N$7:$N$781,0)+6,0)</f>
      </c>
    </row>
    <row r="132" spans="1:11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заказ'!$N$7:$N$781,0)+6,0)</f>
      </c>
    </row>
    <row r="133" spans="1:11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заказ'!$N$7:$N$781,0)+6,0)</f>
      </c>
    </row>
    <row r="134" spans="1:11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заказ'!$N$7:$N$781,0)+6,0)</f>
      </c>
    </row>
    <row r="135" spans="1:11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заказ'!$N$7:$N$781,0)+6,0)</f>
      </c>
    </row>
    <row r="136" spans="1:11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заказ'!$N$7:$N$781,0)+6,0)</f>
      </c>
    </row>
    <row r="137" spans="1:11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заказ'!$N$7:$N$781,0)+6,0)</f>
      </c>
    </row>
    <row r="138" spans="1:11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заказ'!$N$7:$N$781,0)+6,0)</f>
      </c>
    </row>
    <row r="139" spans="1:11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заказ'!$N$7:$N$781,0)+6,0)</f>
      </c>
    </row>
    <row r="140" spans="1:11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заказ'!$N$7:$N$781,0)+6,0)</f>
      </c>
    </row>
    <row r="141" spans="1:11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заказ'!$N$7:$N$781,0)+6,0)</f>
      </c>
    </row>
    <row r="142" spans="1:11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заказ'!$N$7:$N$781,0)+6,0)</f>
      </c>
    </row>
    <row r="143" spans="1:11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заказ'!$N$7:$N$781,0)+6,0)</f>
      </c>
    </row>
    <row r="144" spans="1:11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заказ'!$N$7:$N$781,0)+6,0)</f>
      </c>
    </row>
    <row r="145" spans="1:11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заказ'!$N$7:$N$781,0)+6,0)</f>
      </c>
    </row>
    <row r="146" spans="1:11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заказ'!$N$7:$N$781,0)+6,0)</f>
      </c>
    </row>
    <row r="147" spans="1:11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заказ'!$N$7:$N$781,0)+6,0)</f>
      </c>
    </row>
    <row r="148" spans="1:11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заказ'!$N$7:$N$781,0)+6,0)</f>
      </c>
    </row>
    <row r="149" spans="1:11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заказ'!$N$7:$N$781,0)+6,0)</f>
      </c>
    </row>
    <row r="150" spans="1:11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заказ'!$N$7:$N$781,0)+6,0)</f>
      </c>
    </row>
    <row r="151" spans="1:11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заказ'!$N$7:$N$781,0)+6,0)</f>
      </c>
    </row>
    <row r="152" spans="1:11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заказ'!$N$7:$N$781,0)+6,0)</f>
      </c>
    </row>
    <row r="153" spans="1:11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заказ'!$N$7:$N$781,0)+6,0)</f>
      </c>
    </row>
    <row r="154" spans="1:11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заказ'!$N$7:$N$781,0)+6,0)</f>
      </c>
    </row>
    <row r="155" spans="1:11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заказ'!$N$7:$N$781,0)+6,0)</f>
      </c>
    </row>
    <row r="156" spans="1:11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заказ'!$N$7:$N$781,0)+6,0)</f>
      </c>
    </row>
    <row r="157" spans="1:11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заказ'!$N$7:$N$781,0)+6,0)</f>
      </c>
    </row>
    <row r="158" spans="1:11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заказ'!$N$7:$N$781,0)+6,0)</f>
      </c>
    </row>
    <row r="159" spans="1:11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заказ'!$N$7:$N$781,0)+6,0)</f>
      </c>
    </row>
    <row r="160" spans="1:11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заказ'!$N$7:$N$781,0)+6,0)</f>
      </c>
    </row>
    <row r="161" spans="1:11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заказ'!$N$7:$N$781,0)+6,0)</f>
      </c>
    </row>
    <row r="162" spans="1:11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заказ'!$N$7:$N$781,0)+6,0)</f>
      </c>
    </row>
    <row r="163" spans="1:11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заказ'!$N$7:$N$781,0)+6,0)</f>
      </c>
    </row>
    <row r="164" spans="1:11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заказ'!$N$7:$N$781,0)+6,0)</f>
      </c>
    </row>
    <row r="165" spans="1:11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заказ'!$N$7:$N$781,0)+6,0)</f>
      </c>
    </row>
    <row r="166" spans="1:11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заказ'!$N$7:$N$781,0)+6,0)</f>
      </c>
    </row>
    <row r="167" spans="1:11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заказ'!$N$7:$N$781,0)+6,0)</f>
      </c>
    </row>
    <row r="168" spans="1:11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заказ'!$N$7:$N$781,0)+6,0)</f>
      </c>
    </row>
    <row r="169" spans="1:11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заказ'!$N$7:$N$781,0)+6,0)</f>
      </c>
    </row>
    <row r="170" spans="1:11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заказ'!$N$7:$N$781,0)+6,0)</f>
      </c>
    </row>
    <row r="171" spans="1:11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заказ'!$N$7:$N$781,0)+6,0)</f>
      </c>
    </row>
    <row r="172" spans="1:11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заказ'!$N$7:$N$781,0)+6,0)</f>
      </c>
    </row>
    <row r="173" spans="1:11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заказ'!$N$7:$N$781,0)+6,0)</f>
      </c>
    </row>
    <row r="174" spans="1:11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заказ'!$N$7:$N$781,0)+6,0)</f>
      </c>
    </row>
    <row r="175" spans="1:11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заказ'!$N$7:$N$781,0)+6,0)</f>
      </c>
    </row>
    <row r="176" spans="1:11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заказ'!$N$7:$N$781,0)+6,0)</f>
      </c>
    </row>
    <row r="177" spans="1:11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заказ'!$N$7:$N$781,0)+6,0)</f>
      </c>
    </row>
    <row r="178" spans="1:11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заказ'!$N$7:$N$781,0)+6,0)</f>
      </c>
    </row>
    <row r="179" spans="1:11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заказ'!$N$7:$N$781,0)+6,0)</f>
      </c>
    </row>
    <row r="180" spans="1:11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заказ'!$N$7:$N$781,0)+6,0)</f>
      </c>
    </row>
    <row r="181" spans="1:11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заказ'!$N$7:$N$781,0)+6,0)</f>
      </c>
    </row>
    <row r="182" spans="1:11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заказ'!$N$7:$N$781,0)+6,0)</f>
      </c>
    </row>
    <row r="183" spans="1:11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заказ'!$N$7:$N$781,0)+6,0)</f>
      </c>
    </row>
    <row r="184" spans="1:11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заказ'!$N$7:$N$781,0)+6,0)</f>
      </c>
    </row>
    <row r="185" spans="1:11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заказ'!$N$7:$N$781,0)+6,0)</f>
      </c>
    </row>
    <row r="186" spans="1:11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заказ'!$N$7:$N$781,0)+6,0)</f>
      </c>
    </row>
    <row r="187" spans="1:11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заказ'!$N$7:$N$781,0)+6,0)</f>
      </c>
    </row>
    <row r="188" spans="1:11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заказ'!$N$7:$N$781,0)+6,0)</f>
      </c>
    </row>
    <row r="189" spans="1:11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заказ'!$N$7:$N$781,0)+6,0)</f>
      </c>
    </row>
    <row r="190" spans="1:11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заказ'!$N$7:$N$781,0)+6,0)</f>
      </c>
    </row>
    <row r="191" spans="1:11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заказ'!$N$7:$N$781,0)+6,0)</f>
      </c>
    </row>
    <row r="192" spans="1:11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заказ'!$N$7:$N$781,0)+6,0)</f>
      </c>
    </row>
    <row r="193" spans="1:11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заказ'!$N$7:$N$781,0)+6,0)</f>
      </c>
    </row>
    <row r="194" spans="1:11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заказ'!$N$7:$N$781,0)+6,0)</f>
      </c>
    </row>
    <row r="195" spans="1:11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заказ'!$N$7:$N$781,0)+6,0)</f>
      </c>
    </row>
    <row r="196" spans="1:11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заказ'!$N$7:$N$781,0)+6,0)</f>
      </c>
    </row>
    <row r="197" spans="1:11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заказ'!$N$7:$N$781,0)+6,0)</f>
      </c>
    </row>
    <row r="198" spans="1:11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заказ'!$N$7:$N$781,0)+6,0)</f>
      </c>
    </row>
    <row r="199" spans="1:11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заказ'!$N$7:$N$781,0)+6,0)</f>
      </c>
    </row>
    <row r="200" spans="1:11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заказ'!$N$7:$N$781,0)+6,0)</f>
      </c>
    </row>
    <row r="201" spans="1:11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заказ'!$N$7:$N$781,0)+6,0)</f>
      </c>
    </row>
    <row r="202" spans="1:11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заказ'!$N$7:$N$781,0)+6,0)</f>
      </c>
    </row>
    <row r="203" spans="1:11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заказ'!$N$7:$N$781,0)+6,0)</f>
      </c>
    </row>
    <row r="204" spans="1:11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заказ'!$N$7:$N$781,0)+6,0)</f>
      </c>
    </row>
    <row r="205" spans="1:11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заказ'!$N$7:$N$781,0)+6,0)</f>
      </c>
    </row>
    <row r="206" spans="1:11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заказ'!$N$7:$N$781,0)+6,0)</f>
      </c>
    </row>
    <row r="207" spans="1:11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заказ'!$N$7:$N$781,0)+6,0)</f>
      </c>
    </row>
    <row r="208" spans="1:11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заказ'!$N$7:$N$781,0)+6,0)</f>
      </c>
    </row>
    <row r="209" spans="1:11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заказ'!$N$7:$N$781,0)+6,0)</f>
      </c>
    </row>
    <row r="210" spans="1:11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заказ'!$N$7:$N$781,0)+6,0)</f>
      </c>
    </row>
    <row r="211" spans="1:11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заказ'!$N$7:$N$781,0)+6,0)</f>
      </c>
    </row>
    <row r="212" spans="1:11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заказ'!$N$7:$N$781,0)+6,0)</f>
      </c>
    </row>
    <row r="213" spans="1:11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заказ'!$N$7:$N$781,0)+6,0)</f>
      </c>
    </row>
    <row r="214" spans="1:11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заказ'!$N$7:$N$781,0)+6,0)</f>
      </c>
    </row>
    <row r="215" spans="1:11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заказ'!$N$7:$N$781,0)+6,0)</f>
      </c>
    </row>
    <row r="216" spans="1:11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заказ'!$N$7:$N$781,0)+6,0)</f>
      </c>
    </row>
    <row r="217" spans="1:11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заказ'!$N$7:$N$781,0)+6,0)</f>
      </c>
    </row>
    <row r="218" spans="1:11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заказ'!$N$7:$N$781,0)+6,0)</f>
      </c>
    </row>
    <row r="219" spans="1:11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заказ'!$N$7:$N$781,0)+6,0)</f>
      </c>
    </row>
    <row r="220" spans="1:11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заказ'!$N$7:$N$781,0)+6,0)</f>
      </c>
    </row>
    <row r="221" spans="1:11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заказ'!$N$7:$N$781,0)+6,0)</f>
      </c>
    </row>
    <row r="222" spans="1:11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заказ'!$N$7:$N$781,0)+6,0)</f>
      </c>
    </row>
    <row r="223" spans="1:11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заказ'!$N$7:$N$781,0)+6,0)</f>
      </c>
    </row>
    <row r="224" spans="1:11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заказ'!$N$7:$N$781,0)+6,0)</f>
      </c>
    </row>
    <row r="225" spans="1:11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заказ'!$N$7:$N$781,0)+6,0)</f>
      </c>
    </row>
    <row r="226" spans="1:11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заказ'!$N$7:$N$781,0)+6,0)</f>
      </c>
    </row>
    <row r="227" spans="1:11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заказ'!$N$7:$N$781,0)+6,0)</f>
      </c>
    </row>
    <row r="228" spans="1:11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заказ'!$N$7:$N$781,0)+6,0)</f>
      </c>
    </row>
    <row r="229" spans="1:11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заказ'!$N$7:$N$781,0)+6,0)</f>
      </c>
    </row>
    <row r="230" spans="1:11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заказ'!$N$7:$N$781,0)+6,0)</f>
      </c>
    </row>
    <row r="231" spans="1:11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заказ'!$N$7:$N$781,0)+6,0)</f>
      </c>
    </row>
    <row r="232" spans="1:11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заказ'!$N$7:$N$781,0)+6,0)</f>
      </c>
    </row>
    <row r="233" spans="1:11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заказ'!$N$7:$N$781,0)+6,0)</f>
      </c>
    </row>
    <row r="234" spans="1:11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заказ'!$N$7:$N$781,0)+6,0)</f>
      </c>
    </row>
    <row r="235" spans="1:11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заказ'!$N$7:$N$781,0)+6,0)</f>
      </c>
    </row>
    <row r="236" spans="1:11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заказ'!$N$7:$N$781,0)+6,0)</f>
      </c>
    </row>
    <row r="237" spans="1:11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заказ'!$N$7:$N$781,0)+6,0)</f>
      </c>
    </row>
    <row r="238" spans="1:11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заказ'!$N$7:$N$781,0)+6,0)</f>
      </c>
    </row>
    <row r="239" spans="1:11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заказ'!$N$7:$N$781,0)+6,0)</f>
      </c>
    </row>
    <row r="240" spans="1:11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заказ'!$N$7:$N$781,0)+6,0)</f>
      </c>
    </row>
    <row r="241" spans="1:11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заказ'!$N$7:$N$781,0)+6,0)</f>
      </c>
    </row>
    <row r="242" spans="1:11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заказ'!$N$7:$N$781,0)+6,0)</f>
      </c>
    </row>
    <row r="243" spans="1:11" customHeight="1" ht="40">
      <c r="A243" s="13" t="str">
        <f>IF($J243=0,"",IFERROR(_xlfn.IMAGE(INDEX('Прайс и заказ'!$O:$O,$J243)),""))</f>
      </c>
      <c r="B243" s="61" t="str">
        <f>IF($J243=0,"",IF(INDEX('Прайс и заказ'!B:B,$J243)="","",INDEX('Прайс и заказ'!B:B,$J243)))</f>
      </c>
      <c r="C243" s="64" t="str">
        <f>IF($J243=0,"",IF(INDEX('Прайс и заказ'!C:C,$J243)="","",INDEX('Прайс и заказ'!C:C,$J243)))</f>
      </c>
      <c r="D243" s="64" t="str">
        <f>IF($J243=0,"",IF(INDEX('Прайс и заказ'!D:D,$J243)="","",INDEX('Прайс и заказ'!D:D,$J243)))</f>
      </c>
      <c r="E243" s="61" t="str">
        <f>IF($J243=0,"",IF(INDEX('Прайс и заказ'!F:F,$J243)="","",INDEX('Прайс и заказ'!F:F,$J243)))</f>
      </c>
      <c r="F243" s="62" t="str">
        <f>IF($J243=0,"",IF(INDEX('Прайс и заказ'!I:I,$J243)="","",INDEX('Прайс и заказ'!I:I,$J243)))</f>
      </c>
      <c r="G243" s="63" t="str">
        <f>IF($J243=0,"",IF(INDEX('Прайс и заказ'!K:K,$J243)="","",INDEX('Прайс и заказ'!K:K,$J243)))</f>
      </c>
      <c r="H243" s="62" t="str">
        <f>IF($J243=0,"",IF(INDEX('Прайс и заказ'!L:L,$J243)="","",INDEX('Прайс и заказ'!L:L,$J243)))</f>
      </c>
      <c r="I243" s="13" t="str">
        <f>IF($J243=0,"",IF(INDEX('Прайс и заказ'!M:M,$J243)="","",INDEX('Прайс и заказ'!M:M,$J243)))</f>
      </c>
      <c r="J243" t="str">
        <f>IFERROR(MATCH(235,'Прайс и заказ'!$N$7:$N$781,0)+6,0)</f>
      </c>
    </row>
    <row r="244" spans="1:11" customHeight="1" ht="40">
      <c r="A244" s="13" t="str">
        <f>IF($J244=0,"",IFERROR(_xlfn.IMAGE(INDEX('Прайс и заказ'!$O:$O,$J244)),""))</f>
      </c>
      <c r="B244" s="61" t="str">
        <f>IF($J244=0,"",IF(INDEX('Прайс и заказ'!B:B,$J244)="","",INDEX('Прайс и заказ'!B:B,$J244)))</f>
      </c>
      <c r="C244" s="64" t="str">
        <f>IF($J244=0,"",IF(INDEX('Прайс и заказ'!C:C,$J244)="","",INDEX('Прайс и заказ'!C:C,$J244)))</f>
      </c>
      <c r="D244" s="64" t="str">
        <f>IF($J244=0,"",IF(INDEX('Прайс и заказ'!D:D,$J244)="","",INDEX('Прайс и заказ'!D:D,$J244)))</f>
      </c>
      <c r="E244" s="61" t="str">
        <f>IF($J244=0,"",IF(INDEX('Прайс и заказ'!F:F,$J244)="","",INDEX('Прайс и заказ'!F:F,$J244)))</f>
      </c>
      <c r="F244" s="62" t="str">
        <f>IF($J244=0,"",IF(INDEX('Прайс и заказ'!I:I,$J244)="","",INDEX('Прайс и заказ'!I:I,$J244)))</f>
      </c>
      <c r="G244" s="63" t="str">
        <f>IF($J244=0,"",IF(INDEX('Прайс и заказ'!K:K,$J244)="","",INDEX('Прайс и заказ'!K:K,$J244)))</f>
      </c>
      <c r="H244" s="62" t="str">
        <f>IF($J244=0,"",IF(INDEX('Прайс и заказ'!L:L,$J244)="","",INDEX('Прайс и заказ'!L:L,$J244)))</f>
      </c>
      <c r="I244" s="13" t="str">
        <f>IF($J244=0,"",IF(INDEX('Прайс и заказ'!M:M,$J244)="","",INDEX('Прайс и заказ'!M:M,$J244)))</f>
      </c>
      <c r="J244" t="str">
        <f>IFERROR(MATCH(236,'Прайс и заказ'!$N$7:$N$781,0)+6,0)</f>
      </c>
    </row>
    <row r="245" spans="1:11" customHeight="1" ht="40">
      <c r="A245" s="13" t="str">
        <f>IF($J245=0,"",IFERROR(_xlfn.IMAGE(INDEX('Прайс и заказ'!$O:$O,$J245)),""))</f>
      </c>
      <c r="B245" s="61" t="str">
        <f>IF($J245=0,"",IF(INDEX('Прайс и заказ'!B:B,$J245)="","",INDEX('Прайс и заказ'!B:B,$J245)))</f>
      </c>
      <c r="C245" s="64" t="str">
        <f>IF($J245=0,"",IF(INDEX('Прайс и заказ'!C:C,$J245)="","",INDEX('Прайс и заказ'!C:C,$J245)))</f>
      </c>
      <c r="D245" s="64" t="str">
        <f>IF($J245=0,"",IF(INDEX('Прайс и заказ'!D:D,$J245)="","",INDEX('Прайс и заказ'!D:D,$J245)))</f>
      </c>
      <c r="E245" s="61" t="str">
        <f>IF($J245=0,"",IF(INDEX('Прайс и заказ'!F:F,$J245)="","",INDEX('Прайс и заказ'!F:F,$J245)))</f>
      </c>
      <c r="F245" s="62" t="str">
        <f>IF($J245=0,"",IF(INDEX('Прайс и заказ'!I:I,$J245)="","",INDEX('Прайс и заказ'!I:I,$J245)))</f>
      </c>
      <c r="G245" s="63" t="str">
        <f>IF($J245=0,"",IF(INDEX('Прайс и заказ'!K:K,$J245)="","",INDEX('Прайс и заказ'!K:K,$J245)))</f>
      </c>
      <c r="H245" s="62" t="str">
        <f>IF($J245=0,"",IF(INDEX('Прайс и заказ'!L:L,$J245)="","",INDEX('Прайс и заказ'!L:L,$J245)))</f>
      </c>
      <c r="I245" s="13" t="str">
        <f>IF($J245=0,"",IF(INDEX('Прайс и заказ'!M:M,$J245)="","",INDEX('Прайс и заказ'!M:M,$J245)))</f>
      </c>
      <c r="J245" t="str">
        <f>IFERROR(MATCH(237,'Прайс и заказ'!$N$7:$N$781,0)+6,0)</f>
      </c>
    </row>
    <row r="246" spans="1:11" customHeight="1" ht="40">
      <c r="A246" s="13" t="str">
        <f>IF($J246=0,"",IFERROR(_xlfn.IMAGE(INDEX('Прайс и заказ'!$O:$O,$J246)),""))</f>
      </c>
      <c r="B246" s="61" t="str">
        <f>IF($J246=0,"",IF(INDEX('Прайс и заказ'!B:B,$J246)="","",INDEX('Прайс и заказ'!B:B,$J246)))</f>
      </c>
      <c r="C246" s="64" t="str">
        <f>IF($J246=0,"",IF(INDEX('Прайс и заказ'!C:C,$J246)="","",INDEX('Прайс и заказ'!C:C,$J246)))</f>
      </c>
      <c r="D246" s="64" t="str">
        <f>IF($J246=0,"",IF(INDEX('Прайс и заказ'!D:D,$J246)="","",INDEX('Прайс и заказ'!D:D,$J246)))</f>
      </c>
      <c r="E246" s="61" t="str">
        <f>IF($J246=0,"",IF(INDEX('Прайс и заказ'!F:F,$J246)="","",INDEX('Прайс и заказ'!F:F,$J246)))</f>
      </c>
      <c r="F246" s="62" t="str">
        <f>IF($J246=0,"",IF(INDEX('Прайс и заказ'!I:I,$J246)="","",INDEX('Прайс и заказ'!I:I,$J246)))</f>
      </c>
      <c r="G246" s="63" t="str">
        <f>IF($J246=0,"",IF(INDEX('Прайс и заказ'!K:K,$J246)="","",INDEX('Прайс и заказ'!K:K,$J246)))</f>
      </c>
      <c r="H246" s="62" t="str">
        <f>IF($J246=0,"",IF(INDEX('Прайс и заказ'!L:L,$J246)="","",INDEX('Прайс и заказ'!L:L,$J246)))</f>
      </c>
      <c r="I246" s="13" t="str">
        <f>IF($J246=0,"",IF(INDEX('Прайс и заказ'!M:M,$J246)="","",INDEX('Прайс и заказ'!M:M,$J246)))</f>
      </c>
      <c r="J246" t="str">
        <f>IFERROR(MATCH(238,'Прайс и заказ'!$N$7:$N$781,0)+6,0)</f>
      </c>
    </row>
    <row r="247" spans="1:11" customHeight="1" ht="40">
      <c r="A247" s="13" t="str">
        <f>IF($J247=0,"",IFERROR(_xlfn.IMAGE(INDEX('Прайс и заказ'!$O:$O,$J247)),""))</f>
      </c>
      <c r="B247" s="61" t="str">
        <f>IF($J247=0,"",IF(INDEX('Прайс и заказ'!B:B,$J247)="","",INDEX('Прайс и заказ'!B:B,$J247)))</f>
      </c>
      <c r="C247" s="64" t="str">
        <f>IF($J247=0,"",IF(INDEX('Прайс и заказ'!C:C,$J247)="","",INDEX('Прайс и заказ'!C:C,$J247)))</f>
      </c>
      <c r="D247" s="64" t="str">
        <f>IF($J247=0,"",IF(INDEX('Прайс и заказ'!D:D,$J247)="","",INDEX('Прайс и заказ'!D:D,$J247)))</f>
      </c>
      <c r="E247" s="61" t="str">
        <f>IF($J247=0,"",IF(INDEX('Прайс и заказ'!F:F,$J247)="","",INDEX('Прайс и заказ'!F:F,$J247)))</f>
      </c>
      <c r="F247" s="62" t="str">
        <f>IF($J247=0,"",IF(INDEX('Прайс и заказ'!I:I,$J247)="","",INDEX('Прайс и заказ'!I:I,$J247)))</f>
      </c>
      <c r="G247" s="63" t="str">
        <f>IF($J247=0,"",IF(INDEX('Прайс и заказ'!K:K,$J247)="","",INDEX('Прайс и заказ'!K:K,$J247)))</f>
      </c>
      <c r="H247" s="62" t="str">
        <f>IF($J247=0,"",IF(INDEX('Прайс и заказ'!L:L,$J247)="","",INDEX('Прайс и заказ'!L:L,$J247)))</f>
      </c>
      <c r="I247" s="13" t="str">
        <f>IF($J247=0,"",IF(INDEX('Прайс и заказ'!M:M,$J247)="","",INDEX('Прайс и заказ'!M:M,$J247)))</f>
      </c>
      <c r="J247" t="str">
        <f>IFERROR(MATCH(239,'Прайс и заказ'!$N$7:$N$781,0)+6,0)</f>
      </c>
    </row>
    <row r="248" spans="1:11" customHeight="1" ht="40">
      <c r="A248" s="13" t="str">
        <f>IF($J248=0,"",IFERROR(_xlfn.IMAGE(INDEX('Прайс и заказ'!$O:$O,$J248)),""))</f>
      </c>
      <c r="B248" s="61" t="str">
        <f>IF($J248=0,"",IF(INDEX('Прайс и заказ'!B:B,$J248)="","",INDEX('Прайс и заказ'!B:B,$J248)))</f>
      </c>
      <c r="C248" s="64" t="str">
        <f>IF($J248=0,"",IF(INDEX('Прайс и заказ'!C:C,$J248)="","",INDEX('Прайс и заказ'!C:C,$J248)))</f>
      </c>
      <c r="D248" s="64" t="str">
        <f>IF($J248=0,"",IF(INDEX('Прайс и заказ'!D:D,$J248)="","",INDEX('Прайс и заказ'!D:D,$J248)))</f>
      </c>
      <c r="E248" s="61" t="str">
        <f>IF($J248=0,"",IF(INDEX('Прайс и заказ'!F:F,$J248)="","",INDEX('Прайс и заказ'!F:F,$J248)))</f>
      </c>
      <c r="F248" s="62" t="str">
        <f>IF($J248=0,"",IF(INDEX('Прайс и заказ'!I:I,$J248)="","",INDEX('Прайс и заказ'!I:I,$J248)))</f>
      </c>
      <c r="G248" s="63" t="str">
        <f>IF($J248=0,"",IF(INDEX('Прайс и заказ'!K:K,$J248)="","",INDEX('Прайс и заказ'!K:K,$J248)))</f>
      </c>
      <c r="H248" s="62" t="str">
        <f>IF($J248=0,"",IF(INDEX('Прайс и заказ'!L:L,$J248)="","",INDEX('Прайс и заказ'!L:L,$J248)))</f>
      </c>
      <c r="I248" s="13" t="str">
        <f>IF($J248=0,"",IF(INDEX('Прайс и заказ'!M:M,$J248)="","",INDEX('Прайс и заказ'!M:M,$J248)))</f>
      </c>
      <c r="J248" t="str">
        <f>IFERROR(MATCH(240,'Прайс и заказ'!$N$7:$N$781,0)+6,0)</f>
      </c>
    </row>
    <row r="249" spans="1:11" customHeight="1" ht="40">
      <c r="A249" s="13" t="str">
        <f>IF($J249=0,"",IFERROR(_xlfn.IMAGE(INDEX('Прайс и заказ'!$O:$O,$J249)),""))</f>
      </c>
      <c r="B249" s="61" t="str">
        <f>IF($J249=0,"",IF(INDEX('Прайс и заказ'!B:B,$J249)="","",INDEX('Прайс и заказ'!B:B,$J249)))</f>
      </c>
      <c r="C249" s="64" t="str">
        <f>IF($J249=0,"",IF(INDEX('Прайс и заказ'!C:C,$J249)="","",INDEX('Прайс и заказ'!C:C,$J249)))</f>
      </c>
      <c r="D249" s="64" t="str">
        <f>IF($J249=0,"",IF(INDEX('Прайс и заказ'!D:D,$J249)="","",INDEX('Прайс и заказ'!D:D,$J249)))</f>
      </c>
      <c r="E249" s="61" t="str">
        <f>IF($J249=0,"",IF(INDEX('Прайс и заказ'!F:F,$J249)="","",INDEX('Прайс и заказ'!F:F,$J249)))</f>
      </c>
      <c r="F249" s="62" t="str">
        <f>IF($J249=0,"",IF(INDEX('Прайс и заказ'!I:I,$J249)="","",INDEX('Прайс и заказ'!I:I,$J249)))</f>
      </c>
      <c r="G249" s="63" t="str">
        <f>IF($J249=0,"",IF(INDEX('Прайс и заказ'!K:K,$J249)="","",INDEX('Прайс и заказ'!K:K,$J249)))</f>
      </c>
      <c r="H249" s="62" t="str">
        <f>IF($J249=0,"",IF(INDEX('Прайс и заказ'!L:L,$J249)="","",INDEX('Прайс и заказ'!L:L,$J249)))</f>
      </c>
      <c r="I249" s="13" t="str">
        <f>IF($J249=0,"",IF(INDEX('Прайс и заказ'!M:M,$J249)="","",INDEX('Прайс и заказ'!M:M,$J249)))</f>
      </c>
      <c r="J249" t="str">
        <f>IFERROR(MATCH(241,'Прайс и заказ'!$N$7:$N$781,0)+6,0)</f>
      </c>
    </row>
    <row r="250" spans="1:11" customHeight="1" ht="40">
      <c r="A250" s="13" t="str">
        <f>IF($J250=0,"",IFERROR(_xlfn.IMAGE(INDEX('Прайс и заказ'!$O:$O,$J250)),""))</f>
      </c>
      <c r="B250" s="61" t="str">
        <f>IF($J250=0,"",IF(INDEX('Прайс и заказ'!B:B,$J250)="","",INDEX('Прайс и заказ'!B:B,$J250)))</f>
      </c>
      <c r="C250" s="64" t="str">
        <f>IF($J250=0,"",IF(INDEX('Прайс и заказ'!C:C,$J250)="","",INDEX('Прайс и заказ'!C:C,$J250)))</f>
      </c>
      <c r="D250" s="64" t="str">
        <f>IF($J250=0,"",IF(INDEX('Прайс и заказ'!D:D,$J250)="","",INDEX('Прайс и заказ'!D:D,$J250)))</f>
      </c>
      <c r="E250" s="61" t="str">
        <f>IF($J250=0,"",IF(INDEX('Прайс и заказ'!F:F,$J250)="","",INDEX('Прайс и заказ'!F:F,$J250)))</f>
      </c>
      <c r="F250" s="62" t="str">
        <f>IF($J250=0,"",IF(INDEX('Прайс и заказ'!I:I,$J250)="","",INDEX('Прайс и заказ'!I:I,$J250)))</f>
      </c>
      <c r="G250" s="63" t="str">
        <f>IF($J250=0,"",IF(INDEX('Прайс и заказ'!K:K,$J250)="","",INDEX('Прайс и заказ'!K:K,$J250)))</f>
      </c>
      <c r="H250" s="62" t="str">
        <f>IF($J250=0,"",IF(INDEX('Прайс и заказ'!L:L,$J250)="","",INDEX('Прайс и заказ'!L:L,$J250)))</f>
      </c>
      <c r="I250" s="13" t="str">
        <f>IF($J250=0,"",IF(INDEX('Прайс и заказ'!M:M,$J250)="","",INDEX('Прайс и заказ'!M:M,$J250)))</f>
      </c>
      <c r="J250" t="str">
        <f>IFERROR(MATCH(242,'Прайс и заказ'!$N$7:$N$781,0)+6,0)</f>
      </c>
    </row>
    <row r="251" spans="1:11" customHeight="1" ht="40">
      <c r="A251" s="13" t="str">
        <f>IF($J251=0,"",IFERROR(_xlfn.IMAGE(INDEX('Прайс и заказ'!$O:$O,$J251)),""))</f>
      </c>
      <c r="B251" s="61" t="str">
        <f>IF($J251=0,"",IF(INDEX('Прайс и заказ'!B:B,$J251)="","",INDEX('Прайс и заказ'!B:B,$J251)))</f>
      </c>
      <c r="C251" s="64" t="str">
        <f>IF($J251=0,"",IF(INDEX('Прайс и заказ'!C:C,$J251)="","",INDEX('Прайс и заказ'!C:C,$J251)))</f>
      </c>
      <c r="D251" s="64" t="str">
        <f>IF($J251=0,"",IF(INDEX('Прайс и заказ'!D:D,$J251)="","",INDEX('Прайс и заказ'!D:D,$J251)))</f>
      </c>
      <c r="E251" s="61" t="str">
        <f>IF($J251=0,"",IF(INDEX('Прайс и заказ'!F:F,$J251)="","",INDEX('Прайс и заказ'!F:F,$J251)))</f>
      </c>
      <c r="F251" s="62" t="str">
        <f>IF($J251=0,"",IF(INDEX('Прайс и заказ'!I:I,$J251)="","",INDEX('Прайс и заказ'!I:I,$J251)))</f>
      </c>
      <c r="G251" s="63" t="str">
        <f>IF($J251=0,"",IF(INDEX('Прайс и заказ'!K:K,$J251)="","",INDEX('Прайс и заказ'!K:K,$J251)))</f>
      </c>
      <c r="H251" s="62" t="str">
        <f>IF($J251=0,"",IF(INDEX('Прайс и заказ'!L:L,$J251)="","",INDEX('Прайс и заказ'!L:L,$J251)))</f>
      </c>
      <c r="I251" s="13" t="str">
        <f>IF($J251=0,"",IF(INDEX('Прайс и заказ'!M:M,$J251)="","",INDEX('Прайс и заказ'!M:M,$J251)))</f>
      </c>
      <c r="J251" t="str">
        <f>IFERROR(MATCH(243,'Прайс и заказ'!$N$7:$N$781,0)+6,0)</f>
      </c>
    </row>
    <row r="252" spans="1:11" customHeight="1" ht="40">
      <c r="A252" s="13" t="str">
        <f>IF($J252=0,"",IFERROR(_xlfn.IMAGE(INDEX('Прайс и заказ'!$O:$O,$J252)),""))</f>
      </c>
      <c r="B252" s="61" t="str">
        <f>IF($J252=0,"",IF(INDEX('Прайс и заказ'!B:B,$J252)="","",INDEX('Прайс и заказ'!B:B,$J252)))</f>
      </c>
      <c r="C252" s="64" t="str">
        <f>IF($J252=0,"",IF(INDEX('Прайс и заказ'!C:C,$J252)="","",INDEX('Прайс и заказ'!C:C,$J252)))</f>
      </c>
      <c r="D252" s="64" t="str">
        <f>IF($J252=0,"",IF(INDEX('Прайс и заказ'!D:D,$J252)="","",INDEX('Прайс и заказ'!D:D,$J252)))</f>
      </c>
      <c r="E252" s="61" t="str">
        <f>IF($J252=0,"",IF(INDEX('Прайс и заказ'!F:F,$J252)="","",INDEX('Прайс и заказ'!F:F,$J252)))</f>
      </c>
      <c r="F252" s="62" t="str">
        <f>IF($J252=0,"",IF(INDEX('Прайс и заказ'!I:I,$J252)="","",INDEX('Прайс и заказ'!I:I,$J252)))</f>
      </c>
      <c r="G252" s="63" t="str">
        <f>IF($J252=0,"",IF(INDEX('Прайс и заказ'!K:K,$J252)="","",INDEX('Прайс и заказ'!K:K,$J252)))</f>
      </c>
      <c r="H252" s="62" t="str">
        <f>IF($J252=0,"",IF(INDEX('Прайс и заказ'!L:L,$J252)="","",INDEX('Прайс и заказ'!L:L,$J252)))</f>
      </c>
      <c r="I252" s="13" t="str">
        <f>IF($J252=0,"",IF(INDEX('Прайс и заказ'!M:M,$J252)="","",INDEX('Прайс и заказ'!M:M,$J252)))</f>
      </c>
      <c r="J252" t="str">
        <f>IFERROR(MATCH(244,'Прайс и заказ'!$N$7:$N$781,0)+6,0)</f>
      </c>
    </row>
    <row r="253" spans="1:11" customHeight="1" ht="40">
      <c r="A253" s="13" t="str">
        <f>IF($J253=0,"",IFERROR(_xlfn.IMAGE(INDEX('Прайс и заказ'!$O:$O,$J253)),""))</f>
      </c>
      <c r="B253" s="61" t="str">
        <f>IF($J253=0,"",IF(INDEX('Прайс и заказ'!B:B,$J253)="","",INDEX('Прайс и заказ'!B:B,$J253)))</f>
      </c>
      <c r="C253" s="64" t="str">
        <f>IF($J253=0,"",IF(INDEX('Прайс и заказ'!C:C,$J253)="","",INDEX('Прайс и заказ'!C:C,$J253)))</f>
      </c>
      <c r="D253" s="64" t="str">
        <f>IF($J253=0,"",IF(INDEX('Прайс и заказ'!D:D,$J253)="","",INDEX('Прайс и заказ'!D:D,$J253)))</f>
      </c>
      <c r="E253" s="61" t="str">
        <f>IF($J253=0,"",IF(INDEX('Прайс и заказ'!F:F,$J253)="","",INDEX('Прайс и заказ'!F:F,$J253)))</f>
      </c>
      <c r="F253" s="62" t="str">
        <f>IF($J253=0,"",IF(INDEX('Прайс и заказ'!I:I,$J253)="","",INDEX('Прайс и заказ'!I:I,$J253)))</f>
      </c>
      <c r="G253" s="63" t="str">
        <f>IF($J253=0,"",IF(INDEX('Прайс и заказ'!K:K,$J253)="","",INDEX('Прайс и заказ'!K:K,$J253)))</f>
      </c>
      <c r="H253" s="62" t="str">
        <f>IF($J253=0,"",IF(INDEX('Прайс и заказ'!L:L,$J253)="","",INDEX('Прайс и заказ'!L:L,$J253)))</f>
      </c>
      <c r="I253" s="13" t="str">
        <f>IF($J253=0,"",IF(INDEX('Прайс и заказ'!M:M,$J253)="","",INDEX('Прайс и заказ'!M:M,$J253)))</f>
      </c>
      <c r="J253" t="str">
        <f>IFERROR(MATCH(245,'Прайс и заказ'!$N$7:$N$781,0)+6,0)</f>
      </c>
    </row>
    <row r="254" spans="1:11" customHeight="1" ht="40">
      <c r="A254" s="13" t="str">
        <f>IF($J254=0,"",IFERROR(_xlfn.IMAGE(INDEX('Прайс и заказ'!$O:$O,$J254)),""))</f>
      </c>
      <c r="B254" s="61" t="str">
        <f>IF($J254=0,"",IF(INDEX('Прайс и заказ'!B:B,$J254)="","",INDEX('Прайс и заказ'!B:B,$J254)))</f>
      </c>
      <c r="C254" s="64" t="str">
        <f>IF($J254=0,"",IF(INDEX('Прайс и заказ'!C:C,$J254)="","",INDEX('Прайс и заказ'!C:C,$J254)))</f>
      </c>
      <c r="D254" s="64" t="str">
        <f>IF($J254=0,"",IF(INDEX('Прайс и заказ'!D:D,$J254)="","",INDEX('Прайс и заказ'!D:D,$J254)))</f>
      </c>
      <c r="E254" s="61" t="str">
        <f>IF($J254=0,"",IF(INDEX('Прайс и заказ'!F:F,$J254)="","",INDEX('Прайс и заказ'!F:F,$J254)))</f>
      </c>
      <c r="F254" s="62" t="str">
        <f>IF($J254=0,"",IF(INDEX('Прайс и заказ'!I:I,$J254)="","",INDEX('Прайс и заказ'!I:I,$J254)))</f>
      </c>
      <c r="G254" s="63" t="str">
        <f>IF($J254=0,"",IF(INDEX('Прайс и заказ'!K:K,$J254)="","",INDEX('Прайс и заказ'!K:K,$J254)))</f>
      </c>
      <c r="H254" s="62" t="str">
        <f>IF($J254=0,"",IF(INDEX('Прайс и заказ'!L:L,$J254)="","",INDEX('Прайс и заказ'!L:L,$J254)))</f>
      </c>
      <c r="I254" s="13" t="str">
        <f>IF($J254=0,"",IF(INDEX('Прайс и заказ'!M:M,$J254)="","",INDEX('Прайс и заказ'!M:M,$J254)))</f>
      </c>
      <c r="J254" t="str">
        <f>IFERROR(MATCH(246,'Прайс и заказ'!$N$7:$N$781,0)+6,0)</f>
      </c>
    </row>
    <row r="255" spans="1:11" customHeight="1" ht="40">
      <c r="A255" s="13" t="str">
        <f>IF($J255=0,"",IFERROR(_xlfn.IMAGE(INDEX('Прайс и заказ'!$O:$O,$J255)),""))</f>
      </c>
      <c r="B255" s="61" t="str">
        <f>IF($J255=0,"",IF(INDEX('Прайс и заказ'!B:B,$J255)="","",INDEX('Прайс и заказ'!B:B,$J255)))</f>
      </c>
      <c r="C255" s="64" t="str">
        <f>IF($J255=0,"",IF(INDEX('Прайс и заказ'!C:C,$J255)="","",INDEX('Прайс и заказ'!C:C,$J255)))</f>
      </c>
      <c r="D255" s="64" t="str">
        <f>IF($J255=0,"",IF(INDEX('Прайс и заказ'!D:D,$J255)="","",INDEX('Прайс и заказ'!D:D,$J255)))</f>
      </c>
      <c r="E255" s="61" t="str">
        <f>IF($J255=0,"",IF(INDEX('Прайс и заказ'!F:F,$J255)="","",INDEX('Прайс и заказ'!F:F,$J255)))</f>
      </c>
      <c r="F255" s="62" t="str">
        <f>IF($J255=0,"",IF(INDEX('Прайс и заказ'!I:I,$J255)="","",INDEX('Прайс и заказ'!I:I,$J255)))</f>
      </c>
      <c r="G255" s="63" t="str">
        <f>IF($J255=0,"",IF(INDEX('Прайс и заказ'!K:K,$J255)="","",INDEX('Прайс и заказ'!K:K,$J255)))</f>
      </c>
      <c r="H255" s="62" t="str">
        <f>IF($J255=0,"",IF(INDEX('Прайс и заказ'!L:L,$J255)="","",INDEX('Прайс и заказ'!L:L,$J255)))</f>
      </c>
      <c r="I255" s="13" t="str">
        <f>IF($J255=0,"",IF(INDEX('Прайс и заказ'!M:M,$J255)="","",INDEX('Прайс и заказ'!M:M,$J255)))</f>
      </c>
      <c r="J255" t="str">
        <f>IFERROR(MATCH(247,'Прайс и заказ'!$N$7:$N$781,0)+6,0)</f>
      </c>
    </row>
    <row r="256" spans="1:11" customHeight="1" ht="40">
      <c r="A256" s="13" t="str">
        <f>IF($J256=0,"",IFERROR(_xlfn.IMAGE(INDEX('Прайс и заказ'!$O:$O,$J256)),""))</f>
      </c>
      <c r="B256" s="61" t="str">
        <f>IF($J256=0,"",IF(INDEX('Прайс и заказ'!B:B,$J256)="","",INDEX('Прайс и заказ'!B:B,$J256)))</f>
      </c>
      <c r="C256" s="64" t="str">
        <f>IF($J256=0,"",IF(INDEX('Прайс и заказ'!C:C,$J256)="","",INDEX('Прайс и заказ'!C:C,$J256)))</f>
      </c>
      <c r="D256" s="64" t="str">
        <f>IF($J256=0,"",IF(INDEX('Прайс и заказ'!D:D,$J256)="","",INDEX('Прайс и заказ'!D:D,$J256)))</f>
      </c>
      <c r="E256" s="61" t="str">
        <f>IF($J256=0,"",IF(INDEX('Прайс и заказ'!F:F,$J256)="","",INDEX('Прайс и заказ'!F:F,$J256)))</f>
      </c>
      <c r="F256" s="62" t="str">
        <f>IF($J256=0,"",IF(INDEX('Прайс и заказ'!I:I,$J256)="","",INDEX('Прайс и заказ'!I:I,$J256)))</f>
      </c>
      <c r="G256" s="63" t="str">
        <f>IF($J256=0,"",IF(INDEX('Прайс и заказ'!K:K,$J256)="","",INDEX('Прайс и заказ'!K:K,$J256)))</f>
      </c>
      <c r="H256" s="62" t="str">
        <f>IF($J256=0,"",IF(INDEX('Прайс и заказ'!L:L,$J256)="","",INDEX('Прайс и заказ'!L:L,$J256)))</f>
      </c>
      <c r="I256" s="13" t="str">
        <f>IF($J256=0,"",IF(INDEX('Прайс и заказ'!M:M,$J256)="","",INDEX('Прайс и заказ'!M:M,$J256)))</f>
      </c>
      <c r="J256" t="str">
        <f>IFERROR(MATCH(248,'Прайс и заказ'!$N$7:$N$781,0)+6,0)</f>
      </c>
    </row>
    <row r="257" spans="1:11" customHeight="1" ht="40">
      <c r="A257" s="13" t="str">
        <f>IF($J257=0,"",IFERROR(_xlfn.IMAGE(INDEX('Прайс и заказ'!$O:$O,$J257)),""))</f>
      </c>
      <c r="B257" s="61" t="str">
        <f>IF($J257=0,"",IF(INDEX('Прайс и заказ'!B:B,$J257)="","",INDEX('Прайс и заказ'!B:B,$J257)))</f>
      </c>
      <c r="C257" s="64" t="str">
        <f>IF($J257=0,"",IF(INDEX('Прайс и заказ'!C:C,$J257)="","",INDEX('Прайс и заказ'!C:C,$J257)))</f>
      </c>
      <c r="D257" s="64" t="str">
        <f>IF($J257=0,"",IF(INDEX('Прайс и заказ'!D:D,$J257)="","",INDEX('Прайс и заказ'!D:D,$J257)))</f>
      </c>
      <c r="E257" s="61" t="str">
        <f>IF($J257=0,"",IF(INDEX('Прайс и заказ'!F:F,$J257)="","",INDEX('Прайс и заказ'!F:F,$J257)))</f>
      </c>
      <c r="F257" s="62" t="str">
        <f>IF($J257=0,"",IF(INDEX('Прайс и заказ'!I:I,$J257)="","",INDEX('Прайс и заказ'!I:I,$J257)))</f>
      </c>
      <c r="G257" s="63" t="str">
        <f>IF($J257=0,"",IF(INDEX('Прайс и заказ'!K:K,$J257)="","",INDEX('Прайс и заказ'!K:K,$J257)))</f>
      </c>
      <c r="H257" s="62" t="str">
        <f>IF($J257=0,"",IF(INDEX('Прайс и заказ'!L:L,$J257)="","",INDEX('Прайс и заказ'!L:L,$J257)))</f>
      </c>
      <c r="I257" s="13" t="str">
        <f>IF($J257=0,"",IF(INDEX('Прайс и заказ'!M:M,$J257)="","",INDEX('Прайс и заказ'!M:M,$J257)))</f>
      </c>
      <c r="J257" t="str">
        <f>IFERROR(MATCH(249,'Прайс и заказ'!$N$7:$N$781,0)+6,0)</f>
      </c>
    </row>
    <row r="258" spans="1:11" customHeight="1" ht="40">
      <c r="A258" s="13" t="str">
        <f>IF($J258=0,"",IFERROR(_xlfn.IMAGE(INDEX('Прайс и заказ'!$O:$O,$J258)),""))</f>
      </c>
      <c r="B258" s="61" t="str">
        <f>IF($J258=0,"",IF(INDEX('Прайс и заказ'!B:B,$J258)="","",INDEX('Прайс и заказ'!B:B,$J258)))</f>
      </c>
      <c r="C258" s="64" t="str">
        <f>IF($J258=0,"",IF(INDEX('Прайс и заказ'!C:C,$J258)="","",INDEX('Прайс и заказ'!C:C,$J258)))</f>
      </c>
      <c r="D258" s="64" t="str">
        <f>IF($J258=0,"",IF(INDEX('Прайс и заказ'!D:D,$J258)="","",INDEX('Прайс и заказ'!D:D,$J258)))</f>
      </c>
      <c r="E258" s="61" t="str">
        <f>IF($J258=0,"",IF(INDEX('Прайс и заказ'!F:F,$J258)="","",INDEX('Прайс и заказ'!F:F,$J258)))</f>
      </c>
      <c r="F258" s="62" t="str">
        <f>IF($J258=0,"",IF(INDEX('Прайс и заказ'!I:I,$J258)="","",INDEX('Прайс и заказ'!I:I,$J258)))</f>
      </c>
      <c r="G258" s="63" t="str">
        <f>IF($J258=0,"",IF(INDEX('Прайс и заказ'!K:K,$J258)="","",INDEX('Прайс и заказ'!K:K,$J258)))</f>
      </c>
      <c r="H258" s="62" t="str">
        <f>IF($J258=0,"",IF(INDEX('Прайс и заказ'!L:L,$J258)="","",INDEX('Прайс и заказ'!L:L,$J258)))</f>
      </c>
      <c r="I258" s="13" t="str">
        <f>IF($J258=0,"",IF(INDEX('Прайс и заказ'!M:M,$J258)="","",INDEX('Прайс и заказ'!M:M,$J258)))</f>
      </c>
      <c r="J258" t="str">
        <f>IFERROR(MATCH(250,'Прайс и заказ'!$N$7:$N$781,0)+6,0)</f>
      </c>
    </row>
    <row r="259" spans="1:11" customHeight="1" ht="40">
      <c r="A259" s="13" t="str">
        <f>IF($J259=0,"",IFERROR(_xlfn.IMAGE(INDEX('Прайс и заказ'!$O:$O,$J259)),""))</f>
      </c>
      <c r="B259" s="61" t="str">
        <f>IF($J259=0,"",IF(INDEX('Прайс и заказ'!B:B,$J259)="","",INDEX('Прайс и заказ'!B:B,$J259)))</f>
      </c>
      <c r="C259" s="64" t="str">
        <f>IF($J259=0,"",IF(INDEX('Прайс и заказ'!C:C,$J259)="","",INDEX('Прайс и заказ'!C:C,$J259)))</f>
      </c>
      <c r="D259" s="64" t="str">
        <f>IF($J259=0,"",IF(INDEX('Прайс и заказ'!D:D,$J259)="","",INDEX('Прайс и заказ'!D:D,$J259)))</f>
      </c>
      <c r="E259" s="61" t="str">
        <f>IF($J259=0,"",IF(INDEX('Прайс и заказ'!F:F,$J259)="","",INDEX('Прайс и заказ'!F:F,$J259)))</f>
      </c>
      <c r="F259" s="62" t="str">
        <f>IF($J259=0,"",IF(INDEX('Прайс и заказ'!I:I,$J259)="","",INDEX('Прайс и заказ'!I:I,$J259)))</f>
      </c>
      <c r="G259" s="63" t="str">
        <f>IF($J259=0,"",IF(INDEX('Прайс и заказ'!K:K,$J259)="","",INDEX('Прайс и заказ'!K:K,$J259)))</f>
      </c>
      <c r="H259" s="62" t="str">
        <f>IF($J259=0,"",IF(INDEX('Прайс и заказ'!L:L,$J259)="","",INDEX('Прайс и заказ'!L:L,$J259)))</f>
      </c>
      <c r="I259" s="13" t="str">
        <f>IF($J259=0,"",IF(INDEX('Прайс и заказ'!M:M,$J259)="","",INDEX('Прайс и заказ'!M:M,$J259)))</f>
      </c>
      <c r="J259" t="str">
        <f>IFERROR(MATCH(251,'Прайс и заказ'!$N$7:$N$781,0)+6,0)</f>
      </c>
    </row>
    <row r="260" spans="1:11" customHeight="1" ht="40">
      <c r="A260" s="13" t="str">
        <f>IF($J260=0,"",IFERROR(_xlfn.IMAGE(INDEX('Прайс и заказ'!$O:$O,$J260)),""))</f>
      </c>
      <c r="B260" s="61" t="str">
        <f>IF($J260=0,"",IF(INDEX('Прайс и заказ'!B:B,$J260)="","",INDEX('Прайс и заказ'!B:B,$J260)))</f>
      </c>
      <c r="C260" s="64" t="str">
        <f>IF($J260=0,"",IF(INDEX('Прайс и заказ'!C:C,$J260)="","",INDEX('Прайс и заказ'!C:C,$J260)))</f>
      </c>
      <c r="D260" s="64" t="str">
        <f>IF($J260=0,"",IF(INDEX('Прайс и заказ'!D:D,$J260)="","",INDEX('Прайс и заказ'!D:D,$J260)))</f>
      </c>
      <c r="E260" s="61" t="str">
        <f>IF($J260=0,"",IF(INDEX('Прайс и заказ'!F:F,$J260)="","",INDEX('Прайс и заказ'!F:F,$J260)))</f>
      </c>
      <c r="F260" s="62" t="str">
        <f>IF($J260=0,"",IF(INDEX('Прайс и заказ'!I:I,$J260)="","",INDEX('Прайс и заказ'!I:I,$J260)))</f>
      </c>
      <c r="G260" s="63" t="str">
        <f>IF($J260=0,"",IF(INDEX('Прайс и заказ'!K:K,$J260)="","",INDEX('Прайс и заказ'!K:K,$J260)))</f>
      </c>
      <c r="H260" s="62" t="str">
        <f>IF($J260=0,"",IF(INDEX('Прайс и заказ'!L:L,$J260)="","",INDEX('Прайс и заказ'!L:L,$J260)))</f>
      </c>
      <c r="I260" s="13" t="str">
        <f>IF($J260=0,"",IF(INDEX('Прайс и заказ'!M:M,$J260)="","",INDEX('Прайс и заказ'!M:M,$J260)))</f>
      </c>
      <c r="J260" t="str">
        <f>IFERROR(MATCH(252,'Прайс и заказ'!$N$7:$N$781,0)+6,0)</f>
      </c>
    </row>
    <row r="261" spans="1:11" customHeight="1" ht="40">
      <c r="A261" s="13" t="str">
        <f>IF($J261=0,"",IFERROR(_xlfn.IMAGE(INDEX('Прайс и заказ'!$O:$O,$J261)),""))</f>
      </c>
      <c r="B261" s="61" t="str">
        <f>IF($J261=0,"",IF(INDEX('Прайс и заказ'!B:B,$J261)="","",INDEX('Прайс и заказ'!B:B,$J261)))</f>
      </c>
      <c r="C261" s="64" t="str">
        <f>IF($J261=0,"",IF(INDEX('Прайс и заказ'!C:C,$J261)="","",INDEX('Прайс и заказ'!C:C,$J261)))</f>
      </c>
      <c r="D261" s="64" t="str">
        <f>IF($J261=0,"",IF(INDEX('Прайс и заказ'!D:D,$J261)="","",INDEX('Прайс и заказ'!D:D,$J261)))</f>
      </c>
      <c r="E261" s="61" t="str">
        <f>IF($J261=0,"",IF(INDEX('Прайс и заказ'!F:F,$J261)="","",INDEX('Прайс и заказ'!F:F,$J261)))</f>
      </c>
      <c r="F261" s="62" t="str">
        <f>IF($J261=0,"",IF(INDEX('Прайс и заказ'!I:I,$J261)="","",INDEX('Прайс и заказ'!I:I,$J261)))</f>
      </c>
      <c r="G261" s="63" t="str">
        <f>IF($J261=0,"",IF(INDEX('Прайс и заказ'!K:K,$J261)="","",INDEX('Прайс и заказ'!K:K,$J261)))</f>
      </c>
      <c r="H261" s="62" t="str">
        <f>IF($J261=0,"",IF(INDEX('Прайс и заказ'!L:L,$J261)="","",INDEX('Прайс и заказ'!L:L,$J261)))</f>
      </c>
      <c r="I261" s="13" t="str">
        <f>IF($J261=0,"",IF(INDEX('Прайс и заказ'!M:M,$J261)="","",INDEX('Прайс и заказ'!M:M,$J261)))</f>
      </c>
      <c r="J261" t="str">
        <f>IFERROR(MATCH(253,'Прайс и заказ'!$N$7:$N$781,0)+6,0)</f>
      </c>
    </row>
    <row r="262" spans="1:11" customHeight="1" ht="40">
      <c r="A262" s="13" t="str">
        <f>IF($J262=0,"",IFERROR(_xlfn.IMAGE(INDEX('Прайс и заказ'!$O:$O,$J262)),""))</f>
      </c>
      <c r="B262" s="61" t="str">
        <f>IF($J262=0,"",IF(INDEX('Прайс и заказ'!B:B,$J262)="","",INDEX('Прайс и заказ'!B:B,$J262)))</f>
      </c>
      <c r="C262" s="64" t="str">
        <f>IF($J262=0,"",IF(INDEX('Прайс и заказ'!C:C,$J262)="","",INDEX('Прайс и заказ'!C:C,$J262)))</f>
      </c>
      <c r="D262" s="64" t="str">
        <f>IF($J262=0,"",IF(INDEX('Прайс и заказ'!D:D,$J262)="","",INDEX('Прайс и заказ'!D:D,$J262)))</f>
      </c>
      <c r="E262" s="61" t="str">
        <f>IF($J262=0,"",IF(INDEX('Прайс и заказ'!F:F,$J262)="","",INDEX('Прайс и заказ'!F:F,$J262)))</f>
      </c>
      <c r="F262" s="62" t="str">
        <f>IF($J262=0,"",IF(INDEX('Прайс и заказ'!I:I,$J262)="","",INDEX('Прайс и заказ'!I:I,$J262)))</f>
      </c>
      <c r="G262" s="63" t="str">
        <f>IF($J262=0,"",IF(INDEX('Прайс и заказ'!K:K,$J262)="","",INDEX('Прайс и заказ'!K:K,$J262)))</f>
      </c>
      <c r="H262" s="62" t="str">
        <f>IF($J262=0,"",IF(INDEX('Прайс и заказ'!L:L,$J262)="","",INDEX('Прайс и заказ'!L:L,$J262)))</f>
      </c>
      <c r="I262" s="13" t="str">
        <f>IF($J262=0,"",IF(INDEX('Прайс и заказ'!M:M,$J262)="","",INDEX('Прайс и заказ'!M:M,$J262)))</f>
      </c>
      <c r="J262" t="str">
        <f>IFERROR(MATCH(254,'Прайс и заказ'!$N$7:$N$781,0)+6,0)</f>
      </c>
    </row>
    <row r="263" spans="1:11" customHeight="1" ht="40">
      <c r="A263" s="13" t="str">
        <f>IF($J263=0,"",IFERROR(_xlfn.IMAGE(INDEX('Прайс и заказ'!$O:$O,$J263)),""))</f>
      </c>
      <c r="B263" s="61" t="str">
        <f>IF($J263=0,"",IF(INDEX('Прайс и заказ'!B:B,$J263)="","",INDEX('Прайс и заказ'!B:B,$J263)))</f>
      </c>
      <c r="C263" s="64" t="str">
        <f>IF($J263=0,"",IF(INDEX('Прайс и заказ'!C:C,$J263)="","",INDEX('Прайс и заказ'!C:C,$J263)))</f>
      </c>
      <c r="D263" s="64" t="str">
        <f>IF($J263=0,"",IF(INDEX('Прайс и заказ'!D:D,$J263)="","",INDEX('Прайс и заказ'!D:D,$J263)))</f>
      </c>
      <c r="E263" s="61" t="str">
        <f>IF($J263=0,"",IF(INDEX('Прайс и заказ'!F:F,$J263)="","",INDEX('Прайс и заказ'!F:F,$J263)))</f>
      </c>
      <c r="F263" s="62" t="str">
        <f>IF($J263=0,"",IF(INDEX('Прайс и заказ'!I:I,$J263)="","",INDEX('Прайс и заказ'!I:I,$J263)))</f>
      </c>
      <c r="G263" s="63" t="str">
        <f>IF($J263=0,"",IF(INDEX('Прайс и заказ'!K:K,$J263)="","",INDEX('Прайс и заказ'!K:K,$J263)))</f>
      </c>
      <c r="H263" s="62" t="str">
        <f>IF($J263=0,"",IF(INDEX('Прайс и заказ'!L:L,$J263)="","",INDEX('Прайс и заказ'!L:L,$J263)))</f>
      </c>
      <c r="I263" s="13" t="str">
        <f>IF($J263=0,"",IF(INDEX('Прайс и заказ'!M:M,$J263)="","",INDEX('Прайс и заказ'!M:M,$J263)))</f>
      </c>
      <c r="J263" t="str">
        <f>IFERROR(MATCH(255,'Прайс и заказ'!$N$7:$N$781,0)+6,0)</f>
      </c>
    </row>
    <row r="264" spans="1:11" customHeight="1" ht="40">
      <c r="A264" s="13" t="str">
        <f>IF($J264=0,"",IFERROR(_xlfn.IMAGE(INDEX('Прайс и заказ'!$O:$O,$J264)),""))</f>
      </c>
      <c r="B264" s="61" t="str">
        <f>IF($J264=0,"",IF(INDEX('Прайс и заказ'!B:B,$J264)="","",INDEX('Прайс и заказ'!B:B,$J264)))</f>
      </c>
      <c r="C264" s="64" t="str">
        <f>IF($J264=0,"",IF(INDEX('Прайс и заказ'!C:C,$J264)="","",INDEX('Прайс и заказ'!C:C,$J264)))</f>
      </c>
      <c r="D264" s="64" t="str">
        <f>IF($J264=0,"",IF(INDEX('Прайс и заказ'!D:D,$J264)="","",INDEX('Прайс и заказ'!D:D,$J264)))</f>
      </c>
      <c r="E264" s="61" t="str">
        <f>IF($J264=0,"",IF(INDEX('Прайс и заказ'!F:F,$J264)="","",INDEX('Прайс и заказ'!F:F,$J264)))</f>
      </c>
      <c r="F264" s="62" t="str">
        <f>IF($J264=0,"",IF(INDEX('Прайс и заказ'!I:I,$J264)="","",INDEX('Прайс и заказ'!I:I,$J264)))</f>
      </c>
      <c r="G264" s="63" t="str">
        <f>IF($J264=0,"",IF(INDEX('Прайс и заказ'!K:K,$J264)="","",INDEX('Прайс и заказ'!K:K,$J264)))</f>
      </c>
      <c r="H264" s="62" t="str">
        <f>IF($J264=0,"",IF(INDEX('Прайс и заказ'!L:L,$J264)="","",INDEX('Прайс и заказ'!L:L,$J264)))</f>
      </c>
      <c r="I264" s="13" t="str">
        <f>IF($J264=0,"",IF(INDEX('Прайс и заказ'!M:M,$J264)="","",INDEX('Прайс и заказ'!M:M,$J264)))</f>
      </c>
      <c r="J264" t="str">
        <f>IFERROR(MATCH(256,'Прайс и заказ'!$N$7:$N$781,0)+6,0)</f>
      </c>
    </row>
    <row r="265" spans="1:11" customHeight="1" ht="40">
      <c r="A265" s="13" t="str">
        <f>IF($J265=0,"",IFERROR(_xlfn.IMAGE(INDEX('Прайс и заказ'!$O:$O,$J265)),""))</f>
      </c>
      <c r="B265" s="61" t="str">
        <f>IF($J265=0,"",IF(INDEX('Прайс и заказ'!B:B,$J265)="","",INDEX('Прайс и заказ'!B:B,$J265)))</f>
      </c>
      <c r="C265" s="64" t="str">
        <f>IF($J265=0,"",IF(INDEX('Прайс и заказ'!C:C,$J265)="","",INDEX('Прайс и заказ'!C:C,$J265)))</f>
      </c>
      <c r="D265" s="64" t="str">
        <f>IF($J265=0,"",IF(INDEX('Прайс и заказ'!D:D,$J265)="","",INDEX('Прайс и заказ'!D:D,$J265)))</f>
      </c>
      <c r="E265" s="61" t="str">
        <f>IF($J265=0,"",IF(INDEX('Прайс и заказ'!F:F,$J265)="","",INDEX('Прайс и заказ'!F:F,$J265)))</f>
      </c>
      <c r="F265" s="62" t="str">
        <f>IF($J265=0,"",IF(INDEX('Прайс и заказ'!I:I,$J265)="","",INDEX('Прайс и заказ'!I:I,$J265)))</f>
      </c>
      <c r="G265" s="63" t="str">
        <f>IF($J265=0,"",IF(INDEX('Прайс и заказ'!K:K,$J265)="","",INDEX('Прайс и заказ'!K:K,$J265)))</f>
      </c>
      <c r="H265" s="62" t="str">
        <f>IF($J265=0,"",IF(INDEX('Прайс и заказ'!L:L,$J265)="","",INDEX('Прайс и заказ'!L:L,$J265)))</f>
      </c>
      <c r="I265" s="13" t="str">
        <f>IF($J265=0,"",IF(INDEX('Прайс и заказ'!M:M,$J265)="","",INDEX('Прайс и заказ'!M:M,$J265)))</f>
      </c>
      <c r="J265" t="str">
        <f>IFERROR(MATCH(257,'Прайс и заказ'!$N$7:$N$781,0)+6,0)</f>
      </c>
    </row>
    <row r="266" spans="1:11" customHeight="1" ht="40">
      <c r="A266" s="13" t="str">
        <f>IF($J266=0,"",IFERROR(_xlfn.IMAGE(INDEX('Прайс и заказ'!$O:$O,$J266)),""))</f>
      </c>
      <c r="B266" s="61" t="str">
        <f>IF($J266=0,"",IF(INDEX('Прайс и заказ'!B:B,$J266)="","",INDEX('Прайс и заказ'!B:B,$J266)))</f>
      </c>
      <c r="C266" s="64" t="str">
        <f>IF($J266=0,"",IF(INDEX('Прайс и заказ'!C:C,$J266)="","",INDEX('Прайс и заказ'!C:C,$J266)))</f>
      </c>
      <c r="D266" s="64" t="str">
        <f>IF($J266=0,"",IF(INDEX('Прайс и заказ'!D:D,$J266)="","",INDEX('Прайс и заказ'!D:D,$J266)))</f>
      </c>
      <c r="E266" s="61" t="str">
        <f>IF($J266=0,"",IF(INDEX('Прайс и заказ'!F:F,$J266)="","",INDEX('Прайс и заказ'!F:F,$J266)))</f>
      </c>
      <c r="F266" s="62" t="str">
        <f>IF($J266=0,"",IF(INDEX('Прайс и заказ'!I:I,$J266)="","",INDEX('Прайс и заказ'!I:I,$J266)))</f>
      </c>
      <c r="G266" s="63" t="str">
        <f>IF($J266=0,"",IF(INDEX('Прайс и заказ'!K:K,$J266)="","",INDEX('Прайс и заказ'!K:K,$J266)))</f>
      </c>
      <c r="H266" s="62" t="str">
        <f>IF($J266=0,"",IF(INDEX('Прайс и заказ'!L:L,$J266)="","",INDEX('Прайс и заказ'!L:L,$J266)))</f>
      </c>
      <c r="I266" s="13" t="str">
        <f>IF($J266=0,"",IF(INDEX('Прайс и заказ'!M:M,$J266)="","",INDEX('Прайс и заказ'!M:M,$J266)))</f>
      </c>
      <c r="J266" t="str">
        <f>IFERROR(MATCH(258,'Прайс и заказ'!$N$7:$N$781,0)+6,0)</f>
      </c>
    </row>
    <row r="267" spans="1:11" customHeight="1" ht="40">
      <c r="A267" s="13" t="str">
        <f>IF($J267=0,"",IFERROR(_xlfn.IMAGE(INDEX('Прайс и заказ'!$O:$O,$J267)),""))</f>
      </c>
      <c r="B267" s="61" t="str">
        <f>IF($J267=0,"",IF(INDEX('Прайс и заказ'!B:B,$J267)="","",INDEX('Прайс и заказ'!B:B,$J267)))</f>
      </c>
      <c r="C267" s="64" t="str">
        <f>IF($J267=0,"",IF(INDEX('Прайс и заказ'!C:C,$J267)="","",INDEX('Прайс и заказ'!C:C,$J267)))</f>
      </c>
      <c r="D267" s="64" t="str">
        <f>IF($J267=0,"",IF(INDEX('Прайс и заказ'!D:D,$J267)="","",INDEX('Прайс и заказ'!D:D,$J267)))</f>
      </c>
      <c r="E267" s="61" t="str">
        <f>IF($J267=0,"",IF(INDEX('Прайс и заказ'!F:F,$J267)="","",INDEX('Прайс и заказ'!F:F,$J267)))</f>
      </c>
      <c r="F267" s="62" t="str">
        <f>IF($J267=0,"",IF(INDEX('Прайс и заказ'!I:I,$J267)="","",INDEX('Прайс и заказ'!I:I,$J267)))</f>
      </c>
      <c r="G267" s="63" t="str">
        <f>IF($J267=0,"",IF(INDEX('Прайс и заказ'!K:K,$J267)="","",INDEX('Прайс и заказ'!K:K,$J267)))</f>
      </c>
      <c r="H267" s="62" t="str">
        <f>IF($J267=0,"",IF(INDEX('Прайс и заказ'!L:L,$J267)="","",INDEX('Прайс и заказ'!L:L,$J267)))</f>
      </c>
      <c r="I267" s="13" t="str">
        <f>IF($J267=0,"",IF(INDEX('Прайс и заказ'!M:M,$J267)="","",INDEX('Прайс и заказ'!M:M,$J267)))</f>
      </c>
      <c r="J267" t="str">
        <f>IFERROR(MATCH(259,'Прайс и заказ'!$N$7:$N$781,0)+6,0)</f>
      </c>
    </row>
    <row r="268" spans="1:11" customHeight="1" ht="40">
      <c r="A268" s="13" t="str">
        <f>IF($J268=0,"",IFERROR(_xlfn.IMAGE(INDEX('Прайс и заказ'!$O:$O,$J268)),""))</f>
      </c>
      <c r="B268" s="61" t="str">
        <f>IF($J268=0,"",IF(INDEX('Прайс и заказ'!B:B,$J268)="","",INDEX('Прайс и заказ'!B:B,$J268)))</f>
      </c>
      <c r="C268" s="64" t="str">
        <f>IF($J268=0,"",IF(INDEX('Прайс и заказ'!C:C,$J268)="","",INDEX('Прайс и заказ'!C:C,$J268)))</f>
      </c>
      <c r="D268" s="64" t="str">
        <f>IF($J268=0,"",IF(INDEX('Прайс и заказ'!D:D,$J268)="","",INDEX('Прайс и заказ'!D:D,$J268)))</f>
      </c>
      <c r="E268" s="61" t="str">
        <f>IF($J268=0,"",IF(INDEX('Прайс и заказ'!F:F,$J268)="","",INDEX('Прайс и заказ'!F:F,$J268)))</f>
      </c>
      <c r="F268" s="62" t="str">
        <f>IF($J268=0,"",IF(INDEX('Прайс и заказ'!I:I,$J268)="","",INDEX('Прайс и заказ'!I:I,$J268)))</f>
      </c>
      <c r="G268" s="63" t="str">
        <f>IF($J268=0,"",IF(INDEX('Прайс и заказ'!K:K,$J268)="","",INDEX('Прайс и заказ'!K:K,$J268)))</f>
      </c>
      <c r="H268" s="62" t="str">
        <f>IF($J268=0,"",IF(INDEX('Прайс и заказ'!L:L,$J268)="","",INDEX('Прайс и заказ'!L:L,$J268)))</f>
      </c>
      <c r="I268" s="13" t="str">
        <f>IF($J268=0,"",IF(INDEX('Прайс и заказ'!M:M,$J268)="","",INDEX('Прайс и заказ'!M:M,$J268)))</f>
      </c>
      <c r="J268" t="str">
        <f>IFERROR(MATCH(260,'Прайс и заказ'!$N$7:$N$781,0)+6,0)</f>
      </c>
    </row>
    <row r="269" spans="1:11" customHeight="1" ht="40">
      <c r="A269" s="13" t="str">
        <f>IF($J269=0,"",IFERROR(_xlfn.IMAGE(INDEX('Прайс и заказ'!$O:$O,$J269)),""))</f>
      </c>
      <c r="B269" s="61" t="str">
        <f>IF($J269=0,"",IF(INDEX('Прайс и заказ'!B:B,$J269)="","",INDEX('Прайс и заказ'!B:B,$J269)))</f>
      </c>
      <c r="C269" s="64" t="str">
        <f>IF($J269=0,"",IF(INDEX('Прайс и заказ'!C:C,$J269)="","",INDEX('Прайс и заказ'!C:C,$J269)))</f>
      </c>
      <c r="D269" s="64" t="str">
        <f>IF($J269=0,"",IF(INDEX('Прайс и заказ'!D:D,$J269)="","",INDEX('Прайс и заказ'!D:D,$J269)))</f>
      </c>
      <c r="E269" s="61" t="str">
        <f>IF($J269=0,"",IF(INDEX('Прайс и заказ'!F:F,$J269)="","",INDEX('Прайс и заказ'!F:F,$J269)))</f>
      </c>
      <c r="F269" s="62" t="str">
        <f>IF($J269=0,"",IF(INDEX('Прайс и заказ'!I:I,$J269)="","",INDEX('Прайс и заказ'!I:I,$J269)))</f>
      </c>
      <c r="G269" s="63" t="str">
        <f>IF($J269=0,"",IF(INDEX('Прайс и заказ'!K:K,$J269)="","",INDEX('Прайс и заказ'!K:K,$J269)))</f>
      </c>
      <c r="H269" s="62" t="str">
        <f>IF($J269=0,"",IF(INDEX('Прайс и заказ'!L:L,$J269)="","",INDEX('Прайс и заказ'!L:L,$J269)))</f>
      </c>
      <c r="I269" s="13" t="str">
        <f>IF($J269=0,"",IF(INDEX('Прайс и заказ'!M:M,$J269)="","",INDEX('Прайс и заказ'!M:M,$J269)))</f>
      </c>
      <c r="J269" t="str">
        <f>IFERROR(MATCH(261,'Прайс и заказ'!$N$7:$N$781,0)+6,0)</f>
      </c>
    </row>
    <row r="270" spans="1:11" customHeight="1" ht="40">
      <c r="A270" s="13" t="str">
        <f>IF($J270=0,"",IFERROR(_xlfn.IMAGE(INDEX('Прайс и заказ'!$O:$O,$J270)),""))</f>
      </c>
      <c r="B270" s="61" t="str">
        <f>IF($J270=0,"",IF(INDEX('Прайс и заказ'!B:B,$J270)="","",INDEX('Прайс и заказ'!B:B,$J270)))</f>
      </c>
      <c r="C270" s="64" t="str">
        <f>IF($J270=0,"",IF(INDEX('Прайс и заказ'!C:C,$J270)="","",INDEX('Прайс и заказ'!C:C,$J270)))</f>
      </c>
      <c r="D270" s="64" t="str">
        <f>IF($J270=0,"",IF(INDEX('Прайс и заказ'!D:D,$J270)="","",INDEX('Прайс и заказ'!D:D,$J270)))</f>
      </c>
      <c r="E270" s="61" t="str">
        <f>IF($J270=0,"",IF(INDEX('Прайс и заказ'!F:F,$J270)="","",INDEX('Прайс и заказ'!F:F,$J270)))</f>
      </c>
      <c r="F270" s="62" t="str">
        <f>IF($J270=0,"",IF(INDEX('Прайс и заказ'!I:I,$J270)="","",INDEX('Прайс и заказ'!I:I,$J270)))</f>
      </c>
      <c r="G270" s="63" t="str">
        <f>IF($J270=0,"",IF(INDEX('Прайс и заказ'!K:K,$J270)="","",INDEX('Прайс и заказ'!K:K,$J270)))</f>
      </c>
      <c r="H270" s="62" t="str">
        <f>IF($J270=0,"",IF(INDEX('Прайс и заказ'!L:L,$J270)="","",INDEX('Прайс и заказ'!L:L,$J270)))</f>
      </c>
      <c r="I270" s="13" t="str">
        <f>IF($J270=0,"",IF(INDEX('Прайс и заказ'!M:M,$J270)="","",INDEX('Прайс и заказ'!M:M,$J270)))</f>
      </c>
      <c r="J270" t="str">
        <f>IFERROR(MATCH(262,'Прайс и заказ'!$N$7:$N$781,0)+6,0)</f>
      </c>
    </row>
    <row r="271" spans="1:11" customHeight="1" ht="40">
      <c r="A271" s="13" t="str">
        <f>IF($J271=0,"",IFERROR(_xlfn.IMAGE(INDEX('Прайс и заказ'!$O:$O,$J271)),""))</f>
      </c>
      <c r="B271" s="61" t="str">
        <f>IF($J271=0,"",IF(INDEX('Прайс и заказ'!B:B,$J271)="","",INDEX('Прайс и заказ'!B:B,$J271)))</f>
      </c>
      <c r="C271" s="64" t="str">
        <f>IF($J271=0,"",IF(INDEX('Прайс и заказ'!C:C,$J271)="","",INDEX('Прайс и заказ'!C:C,$J271)))</f>
      </c>
      <c r="D271" s="64" t="str">
        <f>IF($J271=0,"",IF(INDEX('Прайс и заказ'!D:D,$J271)="","",INDEX('Прайс и заказ'!D:D,$J271)))</f>
      </c>
      <c r="E271" s="61" t="str">
        <f>IF($J271=0,"",IF(INDEX('Прайс и заказ'!F:F,$J271)="","",INDEX('Прайс и заказ'!F:F,$J271)))</f>
      </c>
      <c r="F271" s="62" t="str">
        <f>IF($J271=0,"",IF(INDEX('Прайс и заказ'!I:I,$J271)="","",INDEX('Прайс и заказ'!I:I,$J271)))</f>
      </c>
      <c r="G271" s="63" t="str">
        <f>IF($J271=0,"",IF(INDEX('Прайс и заказ'!K:K,$J271)="","",INDEX('Прайс и заказ'!K:K,$J271)))</f>
      </c>
      <c r="H271" s="62" t="str">
        <f>IF($J271=0,"",IF(INDEX('Прайс и заказ'!L:L,$J271)="","",INDEX('Прайс и заказ'!L:L,$J271)))</f>
      </c>
      <c r="I271" s="13" t="str">
        <f>IF($J271=0,"",IF(INDEX('Прайс и заказ'!M:M,$J271)="","",INDEX('Прайс и заказ'!M:M,$J271)))</f>
      </c>
      <c r="J271" t="str">
        <f>IFERROR(MATCH(263,'Прайс и заказ'!$N$7:$N$781,0)+6,0)</f>
      </c>
    </row>
    <row r="272" spans="1:11" customHeight="1" ht="40">
      <c r="A272" s="13" t="str">
        <f>IF($J272=0,"",IFERROR(_xlfn.IMAGE(INDEX('Прайс и заказ'!$O:$O,$J272)),""))</f>
      </c>
      <c r="B272" s="61" t="str">
        <f>IF($J272=0,"",IF(INDEX('Прайс и заказ'!B:B,$J272)="","",INDEX('Прайс и заказ'!B:B,$J272)))</f>
      </c>
      <c r="C272" s="64" t="str">
        <f>IF($J272=0,"",IF(INDEX('Прайс и заказ'!C:C,$J272)="","",INDEX('Прайс и заказ'!C:C,$J272)))</f>
      </c>
      <c r="D272" s="64" t="str">
        <f>IF($J272=0,"",IF(INDEX('Прайс и заказ'!D:D,$J272)="","",INDEX('Прайс и заказ'!D:D,$J272)))</f>
      </c>
      <c r="E272" s="61" t="str">
        <f>IF($J272=0,"",IF(INDEX('Прайс и заказ'!F:F,$J272)="","",INDEX('Прайс и заказ'!F:F,$J272)))</f>
      </c>
      <c r="F272" s="62" t="str">
        <f>IF($J272=0,"",IF(INDEX('Прайс и заказ'!I:I,$J272)="","",INDEX('Прайс и заказ'!I:I,$J272)))</f>
      </c>
      <c r="G272" s="63" t="str">
        <f>IF($J272=0,"",IF(INDEX('Прайс и заказ'!K:K,$J272)="","",INDEX('Прайс и заказ'!K:K,$J272)))</f>
      </c>
      <c r="H272" s="62" t="str">
        <f>IF($J272=0,"",IF(INDEX('Прайс и заказ'!L:L,$J272)="","",INDEX('Прайс и заказ'!L:L,$J272)))</f>
      </c>
      <c r="I272" s="13" t="str">
        <f>IF($J272=0,"",IF(INDEX('Прайс и заказ'!M:M,$J272)="","",INDEX('Прайс и заказ'!M:M,$J272)))</f>
      </c>
      <c r="J272" t="str">
        <f>IFERROR(MATCH(264,'Прайс и заказ'!$N$7:$N$781,0)+6,0)</f>
      </c>
    </row>
    <row r="273" spans="1:11" customHeight="1" ht="40">
      <c r="A273" s="13" t="str">
        <f>IF($J273=0,"",IFERROR(_xlfn.IMAGE(INDEX('Прайс и заказ'!$O:$O,$J273)),""))</f>
      </c>
      <c r="B273" s="61" t="str">
        <f>IF($J273=0,"",IF(INDEX('Прайс и заказ'!B:B,$J273)="","",INDEX('Прайс и заказ'!B:B,$J273)))</f>
      </c>
      <c r="C273" s="64" t="str">
        <f>IF($J273=0,"",IF(INDEX('Прайс и заказ'!C:C,$J273)="","",INDEX('Прайс и заказ'!C:C,$J273)))</f>
      </c>
      <c r="D273" s="64" t="str">
        <f>IF($J273=0,"",IF(INDEX('Прайс и заказ'!D:D,$J273)="","",INDEX('Прайс и заказ'!D:D,$J273)))</f>
      </c>
      <c r="E273" s="61" t="str">
        <f>IF($J273=0,"",IF(INDEX('Прайс и заказ'!F:F,$J273)="","",INDEX('Прайс и заказ'!F:F,$J273)))</f>
      </c>
      <c r="F273" s="62" t="str">
        <f>IF($J273=0,"",IF(INDEX('Прайс и заказ'!I:I,$J273)="","",INDEX('Прайс и заказ'!I:I,$J273)))</f>
      </c>
      <c r="G273" s="63" t="str">
        <f>IF($J273=0,"",IF(INDEX('Прайс и заказ'!K:K,$J273)="","",INDEX('Прайс и заказ'!K:K,$J273)))</f>
      </c>
      <c r="H273" s="62" t="str">
        <f>IF($J273=0,"",IF(INDEX('Прайс и заказ'!L:L,$J273)="","",INDEX('Прайс и заказ'!L:L,$J273)))</f>
      </c>
      <c r="I273" s="13" t="str">
        <f>IF($J273=0,"",IF(INDEX('Прайс и заказ'!M:M,$J273)="","",INDEX('Прайс и заказ'!M:M,$J273)))</f>
      </c>
      <c r="J273" t="str">
        <f>IFERROR(MATCH(265,'Прайс и заказ'!$N$7:$N$781,0)+6,0)</f>
      </c>
    </row>
    <row r="274" spans="1:11" customHeight="1" ht="40">
      <c r="A274" s="13" t="str">
        <f>IF($J274=0,"",IFERROR(_xlfn.IMAGE(INDEX('Прайс и заказ'!$O:$O,$J274)),""))</f>
      </c>
      <c r="B274" s="61" t="str">
        <f>IF($J274=0,"",IF(INDEX('Прайс и заказ'!B:B,$J274)="","",INDEX('Прайс и заказ'!B:B,$J274)))</f>
      </c>
      <c r="C274" s="64" t="str">
        <f>IF($J274=0,"",IF(INDEX('Прайс и заказ'!C:C,$J274)="","",INDEX('Прайс и заказ'!C:C,$J274)))</f>
      </c>
      <c r="D274" s="64" t="str">
        <f>IF($J274=0,"",IF(INDEX('Прайс и заказ'!D:D,$J274)="","",INDEX('Прайс и заказ'!D:D,$J274)))</f>
      </c>
      <c r="E274" s="61" t="str">
        <f>IF($J274=0,"",IF(INDEX('Прайс и заказ'!F:F,$J274)="","",INDEX('Прайс и заказ'!F:F,$J274)))</f>
      </c>
      <c r="F274" s="62" t="str">
        <f>IF($J274=0,"",IF(INDEX('Прайс и заказ'!I:I,$J274)="","",INDEX('Прайс и заказ'!I:I,$J274)))</f>
      </c>
      <c r="G274" s="63" t="str">
        <f>IF($J274=0,"",IF(INDEX('Прайс и заказ'!K:K,$J274)="","",INDEX('Прайс и заказ'!K:K,$J274)))</f>
      </c>
      <c r="H274" s="62" t="str">
        <f>IF($J274=0,"",IF(INDEX('Прайс и заказ'!L:L,$J274)="","",INDEX('Прайс и заказ'!L:L,$J274)))</f>
      </c>
      <c r="I274" s="13" t="str">
        <f>IF($J274=0,"",IF(INDEX('Прайс и заказ'!M:M,$J274)="","",INDEX('Прайс и заказ'!M:M,$J274)))</f>
      </c>
      <c r="J274" t="str">
        <f>IFERROR(MATCH(266,'Прайс и заказ'!$N$7:$N$781,0)+6,0)</f>
      </c>
    </row>
    <row r="275" spans="1:11" customHeight="1" ht="40">
      <c r="A275" s="13" t="str">
        <f>IF($J275=0,"",IFERROR(_xlfn.IMAGE(INDEX('Прайс и заказ'!$O:$O,$J275)),""))</f>
      </c>
      <c r="B275" s="61" t="str">
        <f>IF($J275=0,"",IF(INDEX('Прайс и заказ'!B:B,$J275)="","",INDEX('Прайс и заказ'!B:B,$J275)))</f>
      </c>
      <c r="C275" s="64" t="str">
        <f>IF($J275=0,"",IF(INDEX('Прайс и заказ'!C:C,$J275)="","",INDEX('Прайс и заказ'!C:C,$J275)))</f>
      </c>
      <c r="D275" s="64" t="str">
        <f>IF($J275=0,"",IF(INDEX('Прайс и заказ'!D:D,$J275)="","",INDEX('Прайс и заказ'!D:D,$J275)))</f>
      </c>
      <c r="E275" s="61" t="str">
        <f>IF($J275=0,"",IF(INDEX('Прайс и заказ'!F:F,$J275)="","",INDEX('Прайс и заказ'!F:F,$J275)))</f>
      </c>
      <c r="F275" s="62" t="str">
        <f>IF($J275=0,"",IF(INDEX('Прайс и заказ'!I:I,$J275)="","",INDEX('Прайс и заказ'!I:I,$J275)))</f>
      </c>
      <c r="G275" s="63" t="str">
        <f>IF($J275=0,"",IF(INDEX('Прайс и заказ'!K:K,$J275)="","",INDEX('Прайс и заказ'!K:K,$J275)))</f>
      </c>
      <c r="H275" s="62" t="str">
        <f>IF($J275=0,"",IF(INDEX('Прайс и заказ'!L:L,$J275)="","",INDEX('Прайс и заказ'!L:L,$J275)))</f>
      </c>
      <c r="I275" s="13" t="str">
        <f>IF($J275=0,"",IF(INDEX('Прайс и заказ'!M:M,$J275)="","",INDEX('Прайс и заказ'!M:M,$J275)))</f>
      </c>
      <c r="J275" t="str">
        <f>IFERROR(MATCH(267,'Прайс и заказ'!$N$7:$N$781,0)+6,0)</f>
      </c>
    </row>
    <row r="276" spans="1:11" customHeight="1" ht="40">
      <c r="A276" s="13" t="str">
        <f>IF($J276=0,"",IFERROR(_xlfn.IMAGE(INDEX('Прайс и заказ'!$O:$O,$J276)),""))</f>
      </c>
      <c r="B276" s="61" t="str">
        <f>IF($J276=0,"",IF(INDEX('Прайс и заказ'!B:B,$J276)="","",INDEX('Прайс и заказ'!B:B,$J276)))</f>
      </c>
      <c r="C276" s="64" t="str">
        <f>IF($J276=0,"",IF(INDEX('Прайс и заказ'!C:C,$J276)="","",INDEX('Прайс и заказ'!C:C,$J276)))</f>
      </c>
      <c r="D276" s="64" t="str">
        <f>IF($J276=0,"",IF(INDEX('Прайс и заказ'!D:D,$J276)="","",INDEX('Прайс и заказ'!D:D,$J276)))</f>
      </c>
      <c r="E276" s="61" t="str">
        <f>IF($J276=0,"",IF(INDEX('Прайс и заказ'!F:F,$J276)="","",INDEX('Прайс и заказ'!F:F,$J276)))</f>
      </c>
      <c r="F276" s="62" t="str">
        <f>IF($J276=0,"",IF(INDEX('Прайс и заказ'!I:I,$J276)="","",INDEX('Прайс и заказ'!I:I,$J276)))</f>
      </c>
      <c r="G276" s="63" t="str">
        <f>IF($J276=0,"",IF(INDEX('Прайс и заказ'!K:K,$J276)="","",INDEX('Прайс и заказ'!K:K,$J276)))</f>
      </c>
      <c r="H276" s="62" t="str">
        <f>IF($J276=0,"",IF(INDEX('Прайс и заказ'!L:L,$J276)="","",INDEX('Прайс и заказ'!L:L,$J276)))</f>
      </c>
      <c r="I276" s="13" t="str">
        <f>IF($J276=0,"",IF(INDEX('Прайс и заказ'!M:M,$J276)="","",INDEX('Прайс и заказ'!M:M,$J276)))</f>
      </c>
      <c r="J276" t="str">
        <f>IFERROR(MATCH(268,'Прайс и заказ'!$N$7:$N$781,0)+6,0)</f>
      </c>
    </row>
    <row r="277" spans="1:11" customHeight="1" ht="40">
      <c r="A277" s="13" t="str">
        <f>IF($J277=0,"",IFERROR(_xlfn.IMAGE(INDEX('Прайс и заказ'!$O:$O,$J277)),""))</f>
      </c>
      <c r="B277" s="61" t="str">
        <f>IF($J277=0,"",IF(INDEX('Прайс и заказ'!B:B,$J277)="","",INDEX('Прайс и заказ'!B:B,$J277)))</f>
      </c>
      <c r="C277" s="64" t="str">
        <f>IF($J277=0,"",IF(INDEX('Прайс и заказ'!C:C,$J277)="","",INDEX('Прайс и заказ'!C:C,$J277)))</f>
      </c>
      <c r="D277" s="64" t="str">
        <f>IF($J277=0,"",IF(INDEX('Прайс и заказ'!D:D,$J277)="","",INDEX('Прайс и заказ'!D:D,$J277)))</f>
      </c>
      <c r="E277" s="61" t="str">
        <f>IF($J277=0,"",IF(INDEX('Прайс и заказ'!F:F,$J277)="","",INDEX('Прайс и заказ'!F:F,$J277)))</f>
      </c>
      <c r="F277" s="62" t="str">
        <f>IF($J277=0,"",IF(INDEX('Прайс и заказ'!I:I,$J277)="","",INDEX('Прайс и заказ'!I:I,$J277)))</f>
      </c>
      <c r="G277" s="63" t="str">
        <f>IF($J277=0,"",IF(INDEX('Прайс и заказ'!K:K,$J277)="","",INDEX('Прайс и заказ'!K:K,$J277)))</f>
      </c>
      <c r="H277" s="62" t="str">
        <f>IF($J277=0,"",IF(INDEX('Прайс и заказ'!L:L,$J277)="","",INDEX('Прайс и заказ'!L:L,$J277)))</f>
      </c>
      <c r="I277" s="13" t="str">
        <f>IF($J277=0,"",IF(INDEX('Прайс и заказ'!M:M,$J277)="","",INDEX('Прайс и заказ'!M:M,$J277)))</f>
      </c>
      <c r="J277" t="str">
        <f>IFERROR(MATCH(269,'Прайс и заказ'!$N$7:$N$781,0)+6,0)</f>
      </c>
    </row>
    <row r="278" spans="1:11" customHeight="1" ht="40">
      <c r="A278" s="13" t="str">
        <f>IF($J278=0,"",IFERROR(_xlfn.IMAGE(INDEX('Прайс и заказ'!$O:$O,$J278)),""))</f>
      </c>
      <c r="B278" s="61" t="str">
        <f>IF($J278=0,"",IF(INDEX('Прайс и заказ'!B:B,$J278)="","",INDEX('Прайс и заказ'!B:B,$J278)))</f>
      </c>
      <c r="C278" s="64" t="str">
        <f>IF($J278=0,"",IF(INDEX('Прайс и заказ'!C:C,$J278)="","",INDEX('Прайс и заказ'!C:C,$J278)))</f>
      </c>
      <c r="D278" s="64" t="str">
        <f>IF($J278=0,"",IF(INDEX('Прайс и заказ'!D:D,$J278)="","",INDEX('Прайс и заказ'!D:D,$J278)))</f>
      </c>
      <c r="E278" s="61" t="str">
        <f>IF($J278=0,"",IF(INDEX('Прайс и заказ'!F:F,$J278)="","",INDEX('Прайс и заказ'!F:F,$J278)))</f>
      </c>
      <c r="F278" s="62" t="str">
        <f>IF($J278=0,"",IF(INDEX('Прайс и заказ'!I:I,$J278)="","",INDEX('Прайс и заказ'!I:I,$J278)))</f>
      </c>
      <c r="G278" s="63" t="str">
        <f>IF($J278=0,"",IF(INDEX('Прайс и заказ'!K:K,$J278)="","",INDEX('Прайс и заказ'!K:K,$J278)))</f>
      </c>
      <c r="H278" s="62" t="str">
        <f>IF($J278=0,"",IF(INDEX('Прайс и заказ'!L:L,$J278)="","",INDEX('Прайс и заказ'!L:L,$J278)))</f>
      </c>
      <c r="I278" s="13" t="str">
        <f>IF($J278=0,"",IF(INDEX('Прайс и заказ'!M:M,$J278)="","",INDEX('Прайс и заказ'!M:M,$J278)))</f>
      </c>
      <c r="J278" t="str">
        <f>IFERROR(MATCH(270,'Прайс и заказ'!$N$7:$N$781,0)+6,0)</f>
      </c>
    </row>
    <row r="279" spans="1:11" customHeight="1" ht="40">
      <c r="A279" s="13" t="str">
        <f>IF($J279=0,"",IFERROR(_xlfn.IMAGE(INDEX('Прайс и заказ'!$O:$O,$J279)),""))</f>
      </c>
      <c r="B279" s="61" t="str">
        <f>IF($J279=0,"",IF(INDEX('Прайс и заказ'!B:B,$J279)="","",INDEX('Прайс и заказ'!B:B,$J279)))</f>
      </c>
      <c r="C279" s="64" t="str">
        <f>IF($J279=0,"",IF(INDEX('Прайс и заказ'!C:C,$J279)="","",INDEX('Прайс и заказ'!C:C,$J279)))</f>
      </c>
      <c r="D279" s="64" t="str">
        <f>IF($J279=0,"",IF(INDEX('Прайс и заказ'!D:D,$J279)="","",INDEX('Прайс и заказ'!D:D,$J279)))</f>
      </c>
      <c r="E279" s="61" t="str">
        <f>IF($J279=0,"",IF(INDEX('Прайс и заказ'!F:F,$J279)="","",INDEX('Прайс и заказ'!F:F,$J279)))</f>
      </c>
      <c r="F279" s="62" t="str">
        <f>IF($J279=0,"",IF(INDEX('Прайс и заказ'!I:I,$J279)="","",INDEX('Прайс и заказ'!I:I,$J279)))</f>
      </c>
      <c r="G279" s="63" t="str">
        <f>IF($J279=0,"",IF(INDEX('Прайс и заказ'!K:K,$J279)="","",INDEX('Прайс и заказ'!K:K,$J279)))</f>
      </c>
      <c r="H279" s="62" t="str">
        <f>IF($J279=0,"",IF(INDEX('Прайс и заказ'!L:L,$J279)="","",INDEX('Прайс и заказ'!L:L,$J279)))</f>
      </c>
      <c r="I279" s="13" t="str">
        <f>IF($J279=0,"",IF(INDEX('Прайс и заказ'!M:M,$J279)="","",INDEX('Прайс и заказ'!M:M,$J279)))</f>
      </c>
      <c r="J279" t="str">
        <f>IFERROR(MATCH(271,'Прайс и заказ'!$N$7:$N$781,0)+6,0)</f>
      </c>
    </row>
    <row r="280" spans="1:11" customHeight="1" ht="40">
      <c r="A280" s="13" t="str">
        <f>IF($J280=0,"",IFERROR(_xlfn.IMAGE(INDEX('Прайс и заказ'!$O:$O,$J280)),""))</f>
      </c>
      <c r="B280" s="61" t="str">
        <f>IF($J280=0,"",IF(INDEX('Прайс и заказ'!B:B,$J280)="","",INDEX('Прайс и заказ'!B:B,$J280)))</f>
      </c>
      <c r="C280" s="64" t="str">
        <f>IF($J280=0,"",IF(INDEX('Прайс и заказ'!C:C,$J280)="","",INDEX('Прайс и заказ'!C:C,$J280)))</f>
      </c>
      <c r="D280" s="64" t="str">
        <f>IF($J280=0,"",IF(INDEX('Прайс и заказ'!D:D,$J280)="","",INDEX('Прайс и заказ'!D:D,$J280)))</f>
      </c>
      <c r="E280" s="61" t="str">
        <f>IF($J280=0,"",IF(INDEX('Прайс и заказ'!F:F,$J280)="","",INDEX('Прайс и заказ'!F:F,$J280)))</f>
      </c>
      <c r="F280" s="62" t="str">
        <f>IF($J280=0,"",IF(INDEX('Прайс и заказ'!I:I,$J280)="","",INDEX('Прайс и заказ'!I:I,$J280)))</f>
      </c>
      <c r="G280" s="63" t="str">
        <f>IF($J280=0,"",IF(INDEX('Прайс и заказ'!K:K,$J280)="","",INDEX('Прайс и заказ'!K:K,$J280)))</f>
      </c>
      <c r="H280" s="62" t="str">
        <f>IF($J280=0,"",IF(INDEX('Прайс и заказ'!L:L,$J280)="","",INDEX('Прайс и заказ'!L:L,$J280)))</f>
      </c>
      <c r="I280" s="13" t="str">
        <f>IF($J280=0,"",IF(INDEX('Прайс и заказ'!M:M,$J280)="","",INDEX('Прайс и заказ'!M:M,$J280)))</f>
      </c>
      <c r="J280" t="str">
        <f>IFERROR(MATCH(272,'Прайс и заказ'!$N$7:$N$781,0)+6,0)</f>
      </c>
    </row>
    <row r="281" spans="1:11" customHeight="1" ht="40">
      <c r="A281" s="13" t="str">
        <f>IF($J281=0,"",IFERROR(_xlfn.IMAGE(INDEX('Прайс и заказ'!$O:$O,$J281)),""))</f>
      </c>
      <c r="B281" s="61" t="str">
        <f>IF($J281=0,"",IF(INDEX('Прайс и заказ'!B:B,$J281)="","",INDEX('Прайс и заказ'!B:B,$J281)))</f>
      </c>
      <c r="C281" s="64" t="str">
        <f>IF($J281=0,"",IF(INDEX('Прайс и заказ'!C:C,$J281)="","",INDEX('Прайс и заказ'!C:C,$J281)))</f>
      </c>
      <c r="D281" s="64" t="str">
        <f>IF($J281=0,"",IF(INDEX('Прайс и заказ'!D:D,$J281)="","",INDEX('Прайс и заказ'!D:D,$J281)))</f>
      </c>
      <c r="E281" s="61" t="str">
        <f>IF($J281=0,"",IF(INDEX('Прайс и заказ'!F:F,$J281)="","",INDEX('Прайс и заказ'!F:F,$J281)))</f>
      </c>
      <c r="F281" s="62" t="str">
        <f>IF($J281=0,"",IF(INDEX('Прайс и заказ'!I:I,$J281)="","",INDEX('Прайс и заказ'!I:I,$J281)))</f>
      </c>
      <c r="G281" s="63" t="str">
        <f>IF($J281=0,"",IF(INDEX('Прайс и заказ'!K:K,$J281)="","",INDEX('Прайс и заказ'!K:K,$J281)))</f>
      </c>
      <c r="H281" s="62" t="str">
        <f>IF($J281=0,"",IF(INDEX('Прайс и заказ'!L:L,$J281)="","",INDEX('Прайс и заказ'!L:L,$J281)))</f>
      </c>
      <c r="I281" s="13" t="str">
        <f>IF($J281=0,"",IF(INDEX('Прайс и заказ'!M:M,$J281)="","",INDEX('Прайс и заказ'!M:M,$J281)))</f>
      </c>
      <c r="J281" t="str">
        <f>IFERROR(MATCH(273,'Прайс и заказ'!$N$7:$N$781,0)+6,0)</f>
      </c>
    </row>
    <row r="282" spans="1:11" customHeight="1" ht="40">
      <c r="A282" s="13" t="str">
        <f>IF($J282=0,"",IFERROR(_xlfn.IMAGE(INDEX('Прайс и заказ'!$O:$O,$J282)),""))</f>
      </c>
      <c r="B282" s="61" t="str">
        <f>IF($J282=0,"",IF(INDEX('Прайс и заказ'!B:B,$J282)="","",INDEX('Прайс и заказ'!B:B,$J282)))</f>
      </c>
      <c r="C282" s="64" t="str">
        <f>IF($J282=0,"",IF(INDEX('Прайс и заказ'!C:C,$J282)="","",INDEX('Прайс и заказ'!C:C,$J282)))</f>
      </c>
      <c r="D282" s="64" t="str">
        <f>IF($J282=0,"",IF(INDEX('Прайс и заказ'!D:D,$J282)="","",INDEX('Прайс и заказ'!D:D,$J282)))</f>
      </c>
      <c r="E282" s="61" t="str">
        <f>IF($J282=0,"",IF(INDEX('Прайс и заказ'!F:F,$J282)="","",INDEX('Прайс и заказ'!F:F,$J282)))</f>
      </c>
      <c r="F282" s="62" t="str">
        <f>IF($J282=0,"",IF(INDEX('Прайс и заказ'!I:I,$J282)="","",INDEX('Прайс и заказ'!I:I,$J282)))</f>
      </c>
      <c r="G282" s="63" t="str">
        <f>IF($J282=0,"",IF(INDEX('Прайс и заказ'!K:K,$J282)="","",INDEX('Прайс и заказ'!K:K,$J282)))</f>
      </c>
      <c r="H282" s="62" t="str">
        <f>IF($J282=0,"",IF(INDEX('Прайс и заказ'!L:L,$J282)="","",INDEX('Прайс и заказ'!L:L,$J282)))</f>
      </c>
      <c r="I282" s="13" t="str">
        <f>IF($J282=0,"",IF(INDEX('Прайс и заказ'!M:M,$J282)="","",INDEX('Прайс и заказ'!M:M,$J282)))</f>
      </c>
      <c r="J282" t="str">
        <f>IFERROR(MATCH(274,'Прайс и заказ'!$N$7:$N$781,0)+6,0)</f>
      </c>
    </row>
    <row r="283" spans="1:11" customHeight="1" ht="40">
      <c r="A283" s="13" t="str">
        <f>IF($J283=0,"",IFERROR(_xlfn.IMAGE(INDEX('Прайс и заказ'!$O:$O,$J283)),""))</f>
      </c>
      <c r="B283" s="61" t="str">
        <f>IF($J283=0,"",IF(INDEX('Прайс и заказ'!B:B,$J283)="","",INDEX('Прайс и заказ'!B:B,$J283)))</f>
      </c>
      <c r="C283" s="64" t="str">
        <f>IF($J283=0,"",IF(INDEX('Прайс и заказ'!C:C,$J283)="","",INDEX('Прайс и заказ'!C:C,$J283)))</f>
      </c>
      <c r="D283" s="64" t="str">
        <f>IF($J283=0,"",IF(INDEX('Прайс и заказ'!D:D,$J283)="","",INDEX('Прайс и заказ'!D:D,$J283)))</f>
      </c>
      <c r="E283" s="61" t="str">
        <f>IF($J283=0,"",IF(INDEX('Прайс и заказ'!F:F,$J283)="","",INDEX('Прайс и заказ'!F:F,$J283)))</f>
      </c>
      <c r="F283" s="62" t="str">
        <f>IF($J283=0,"",IF(INDEX('Прайс и заказ'!I:I,$J283)="","",INDEX('Прайс и заказ'!I:I,$J283)))</f>
      </c>
      <c r="G283" s="63" t="str">
        <f>IF($J283=0,"",IF(INDEX('Прайс и заказ'!K:K,$J283)="","",INDEX('Прайс и заказ'!K:K,$J283)))</f>
      </c>
      <c r="H283" s="62" t="str">
        <f>IF($J283=0,"",IF(INDEX('Прайс и заказ'!L:L,$J283)="","",INDEX('Прайс и заказ'!L:L,$J283)))</f>
      </c>
      <c r="I283" s="13" t="str">
        <f>IF($J283=0,"",IF(INDEX('Прайс и заказ'!M:M,$J283)="","",INDEX('Прайс и заказ'!M:M,$J283)))</f>
      </c>
      <c r="J283" t="str">
        <f>IFERROR(MATCH(275,'Прайс и заказ'!$N$7:$N$781,0)+6,0)</f>
      </c>
    </row>
    <row r="284" spans="1:11" customHeight="1" ht="40">
      <c r="A284" s="13" t="str">
        <f>IF($J284=0,"",IFERROR(_xlfn.IMAGE(INDEX('Прайс и заказ'!$O:$O,$J284)),""))</f>
      </c>
      <c r="B284" s="61" t="str">
        <f>IF($J284=0,"",IF(INDEX('Прайс и заказ'!B:B,$J284)="","",INDEX('Прайс и заказ'!B:B,$J284)))</f>
      </c>
      <c r="C284" s="64" t="str">
        <f>IF($J284=0,"",IF(INDEX('Прайс и заказ'!C:C,$J284)="","",INDEX('Прайс и заказ'!C:C,$J284)))</f>
      </c>
      <c r="D284" s="64" t="str">
        <f>IF($J284=0,"",IF(INDEX('Прайс и заказ'!D:D,$J284)="","",INDEX('Прайс и заказ'!D:D,$J284)))</f>
      </c>
      <c r="E284" s="61" t="str">
        <f>IF($J284=0,"",IF(INDEX('Прайс и заказ'!F:F,$J284)="","",INDEX('Прайс и заказ'!F:F,$J284)))</f>
      </c>
      <c r="F284" s="62" t="str">
        <f>IF($J284=0,"",IF(INDEX('Прайс и заказ'!I:I,$J284)="","",INDEX('Прайс и заказ'!I:I,$J284)))</f>
      </c>
      <c r="G284" s="63" t="str">
        <f>IF($J284=0,"",IF(INDEX('Прайс и заказ'!K:K,$J284)="","",INDEX('Прайс и заказ'!K:K,$J284)))</f>
      </c>
      <c r="H284" s="62" t="str">
        <f>IF($J284=0,"",IF(INDEX('Прайс и заказ'!L:L,$J284)="","",INDEX('Прайс и заказ'!L:L,$J284)))</f>
      </c>
      <c r="I284" s="13" t="str">
        <f>IF($J284=0,"",IF(INDEX('Прайс и заказ'!M:M,$J284)="","",INDEX('Прайс и заказ'!M:M,$J284)))</f>
      </c>
      <c r="J284" t="str">
        <f>IFERROR(MATCH(276,'Прайс и заказ'!$N$7:$N$781,0)+6,0)</f>
      </c>
    </row>
    <row r="285" spans="1:11" customHeight="1" ht="40">
      <c r="A285" s="13" t="str">
        <f>IF($J285=0,"",IFERROR(_xlfn.IMAGE(INDEX('Прайс и заказ'!$O:$O,$J285)),""))</f>
      </c>
      <c r="B285" s="61" t="str">
        <f>IF($J285=0,"",IF(INDEX('Прайс и заказ'!B:B,$J285)="","",INDEX('Прайс и заказ'!B:B,$J285)))</f>
      </c>
      <c r="C285" s="64" t="str">
        <f>IF($J285=0,"",IF(INDEX('Прайс и заказ'!C:C,$J285)="","",INDEX('Прайс и заказ'!C:C,$J285)))</f>
      </c>
      <c r="D285" s="64" t="str">
        <f>IF($J285=0,"",IF(INDEX('Прайс и заказ'!D:D,$J285)="","",INDEX('Прайс и заказ'!D:D,$J285)))</f>
      </c>
      <c r="E285" s="61" t="str">
        <f>IF($J285=0,"",IF(INDEX('Прайс и заказ'!F:F,$J285)="","",INDEX('Прайс и заказ'!F:F,$J285)))</f>
      </c>
      <c r="F285" s="62" t="str">
        <f>IF($J285=0,"",IF(INDEX('Прайс и заказ'!I:I,$J285)="","",INDEX('Прайс и заказ'!I:I,$J285)))</f>
      </c>
      <c r="G285" s="63" t="str">
        <f>IF($J285=0,"",IF(INDEX('Прайс и заказ'!K:K,$J285)="","",INDEX('Прайс и заказ'!K:K,$J285)))</f>
      </c>
      <c r="H285" s="62" t="str">
        <f>IF($J285=0,"",IF(INDEX('Прайс и заказ'!L:L,$J285)="","",INDEX('Прайс и заказ'!L:L,$J285)))</f>
      </c>
      <c r="I285" s="13" t="str">
        <f>IF($J285=0,"",IF(INDEX('Прайс и заказ'!M:M,$J285)="","",INDEX('Прайс и заказ'!M:M,$J285)))</f>
      </c>
      <c r="J285" t="str">
        <f>IFERROR(MATCH(277,'Прайс и заказ'!$N$7:$N$781,0)+6,0)</f>
      </c>
    </row>
    <row r="286" spans="1:11" customHeight="1" ht="40">
      <c r="A286" s="13" t="str">
        <f>IF($J286=0,"",IFERROR(_xlfn.IMAGE(INDEX('Прайс и заказ'!$O:$O,$J286)),""))</f>
      </c>
      <c r="B286" s="61" t="str">
        <f>IF($J286=0,"",IF(INDEX('Прайс и заказ'!B:B,$J286)="","",INDEX('Прайс и заказ'!B:B,$J286)))</f>
      </c>
      <c r="C286" s="64" t="str">
        <f>IF($J286=0,"",IF(INDEX('Прайс и заказ'!C:C,$J286)="","",INDEX('Прайс и заказ'!C:C,$J286)))</f>
      </c>
      <c r="D286" s="64" t="str">
        <f>IF($J286=0,"",IF(INDEX('Прайс и заказ'!D:D,$J286)="","",INDEX('Прайс и заказ'!D:D,$J286)))</f>
      </c>
      <c r="E286" s="61" t="str">
        <f>IF($J286=0,"",IF(INDEX('Прайс и заказ'!F:F,$J286)="","",INDEX('Прайс и заказ'!F:F,$J286)))</f>
      </c>
      <c r="F286" s="62" t="str">
        <f>IF($J286=0,"",IF(INDEX('Прайс и заказ'!I:I,$J286)="","",INDEX('Прайс и заказ'!I:I,$J286)))</f>
      </c>
      <c r="G286" s="63" t="str">
        <f>IF($J286=0,"",IF(INDEX('Прайс и заказ'!K:K,$J286)="","",INDEX('Прайс и заказ'!K:K,$J286)))</f>
      </c>
      <c r="H286" s="62" t="str">
        <f>IF($J286=0,"",IF(INDEX('Прайс и заказ'!L:L,$J286)="","",INDEX('Прайс и заказ'!L:L,$J286)))</f>
      </c>
      <c r="I286" s="13" t="str">
        <f>IF($J286=0,"",IF(INDEX('Прайс и заказ'!M:M,$J286)="","",INDEX('Прайс и заказ'!M:M,$J286)))</f>
      </c>
      <c r="J286" t="str">
        <f>IFERROR(MATCH(278,'Прайс и заказ'!$N$7:$N$781,0)+6,0)</f>
      </c>
    </row>
    <row r="287" spans="1:11" customHeight="1" ht="40">
      <c r="A287" s="13" t="str">
        <f>IF($J287=0,"",IFERROR(_xlfn.IMAGE(INDEX('Прайс и заказ'!$O:$O,$J287)),""))</f>
      </c>
      <c r="B287" s="61" t="str">
        <f>IF($J287=0,"",IF(INDEX('Прайс и заказ'!B:B,$J287)="","",INDEX('Прайс и заказ'!B:B,$J287)))</f>
      </c>
      <c r="C287" s="64" t="str">
        <f>IF($J287=0,"",IF(INDEX('Прайс и заказ'!C:C,$J287)="","",INDEX('Прайс и заказ'!C:C,$J287)))</f>
      </c>
      <c r="D287" s="64" t="str">
        <f>IF($J287=0,"",IF(INDEX('Прайс и заказ'!D:D,$J287)="","",INDEX('Прайс и заказ'!D:D,$J287)))</f>
      </c>
      <c r="E287" s="61" t="str">
        <f>IF($J287=0,"",IF(INDEX('Прайс и заказ'!F:F,$J287)="","",INDEX('Прайс и заказ'!F:F,$J287)))</f>
      </c>
      <c r="F287" s="62" t="str">
        <f>IF($J287=0,"",IF(INDEX('Прайс и заказ'!I:I,$J287)="","",INDEX('Прайс и заказ'!I:I,$J287)))</f>
      </c>
      <c r="G287" s="63" t="str">
        <f>IF($J287=0,"",IF(INDEX('Прайс и заказ'!K:K,$J287)="","",INDEX('Прайс и заказ'!K:K,$J287)))</f>
      </c>
      <c r="H287" s="62" t="str">
        <f>IF($J287=0,"",IF(INDEX('Прайс и заказ'!L:L,$J287)="","",INDEX('Прайс и заказ'!L:L,$J287)))</f>
      </c>
      <c r="I287" s="13" t="str">
        <f>IF($J287=0,"",IF(INDEX('Прайс и заказ'!M:M,$J287)="","",INDEX('Прайс и заказ'!M:M,$J287)))</f>
      </c>
      <c r="J287" t="str">
        <f>IFERROR(MATCH(279,'Прайс и заказ'!$N$7:$N$781,0)+6,0)</f>
      </c>
    </row>
    <row r="288" spans="1:11" customHeight="1" ht="40">
      <c r="A288" s="13" t="str">
        <f>IF($J288=0,"",IFERROR(_xlfn.IMAGE(INDEX('Прайс и заказ'!$O:$O,$J288)),""))</f>
      </c>
      <c r="B288" s="61" t="str">
        <f>IF($J288=0,"",IF(INDEX('Прайс и заказ'!B:B,$J288)="","",INDEX('Прайс и заказ'!B:B,$J288)))</f>
      </c>
      <c r="C288" s="64" t="str">
        <f>IF($J288=0,"",IF(INDEX('Прайс и заказ'!C:C,$J288)="","",INDEX('Прайс и заказ'!C:C,$J288)))</f>
      </c>
      <c r="D288" s="64" t="str">
        <f>IF($J288=0,"",IF(INDEX('Прайс и заказ'!D:D,$J288)="","",INDEX('Прайс и заказ'!D:D,$J288)))</f>
      </c>
      <c r="E288" s="61" t="str">
        <f>IF($J288=0,"",IF(INDEX('Прайс и заказ'!F:F,$J288)="","",INDEX('Прайс и заказ'!F:F,$J288)))</f>
      </c>
      <c r="F288" s="62" t="str">
        <f>IF($J288=0,"",IF(INDEX('Прайс и заказ'!I:I,$J288)="","",INDEX('Прайс и заказ'!I:I,$J288)))</f>
      </c>
      <c r="G288" s="63" t="str">
        <f>IF($J288=0,"",IF(INDEX('Прайс и заказ'!K:K,$J288)="","",INDEX('Прайс и заказ'!K:K,$J288)))</f>
      </c>
      <c r="H288" s="62" t="str">
        <f>IF($J288=0,"",IF(INDEX('Прайс и заказ'!L:L,$J288)="","",INDEX('Прайс и заказ'!L:L,$J288)))</f>
      </c>
      <c r="I288" s="13" t="str">
        <f>IF($J288=0,"",IF(INDEX('Прайс и заказ'!M:M,$J288)="","",INDEX('Прайс и заказ'!M:M,$J288)))</f>
      </c>
      <c r="J288" t="str">
        <f>IFERROR(MATCH(280,'Прайс и заказ'!$N$7:$N$781,0)+6,0)</f>
      </c>
    </row>
    <row r="289" spans="1:11" customHeight="1" ht="40">
      <c r="A289" s="13" t="str">
        <f>IF($J289=0,"",IFERROR(_xlfn.IMAGE(INDEX('Прайс и заказ'!$O:$O,$J289)),""))</f>
      </c>
      <c r="B289" s="61" t="str">
        <f>IF($J289=0,"",IF(INDEX('Прайс и заказ'!B:B,$J289)="","",INDEX('Прайс и заказ'!B:B,$J289)))</f>
      </c>
      <c r="C289" s="64" t="str">
        <f>IF($J289=0,"",IF(INDEX('Прайс и заказ'!C:C,$J289)="","",INDEX('Прайс и заказ'!C:C,$J289)))</f>
      </c>
      <c r="D289" s="64" t="str">
        <f>IF($J289=0,"",IF(INDEX('Прайс и заказ'!D:D,$J289)="","",INDEX('Прайс и заказ'!D:D,$J289)))</f>
      </c>
      <c r="E289" s="61" t="str">
        <f>IF($J289=0,"",IF(INDEX('Прайс и заказ'!F:F,$J289)="","",INDEX('Прайс и заказ'!F:F,$J289)))</f>
      </c>
      <c r="F289" s="62" t="str">
        <f>IF($J289=0,"",IF(INDEX('Прайс и заказ'!I:I,$J289)="","",INDEX('Прайс и заказ'!I:I,$J289)))</f>
      </c>
      <c r="G289" s="63" t="str">
        <f>IF($J289=0,"",IF(INDEX('Прайс и заказ'!K:K,$J289)="","",INDEX('Прайс и заказ'!K:K,$J289)))</f>
      </c>
      <c r="H289" s="62" t="str">
        <f>IF($J289=0,"",IF(INDEX('Прайс и заказ'!L:L,$J289)="","",INDEX('Прайс и заказ'!L:L,$J289)))</f>
      </c>
      <c r="I289" s="13" t="str">
        <f>IF($J289=0,"",IF(INDEX('Прайс и заказ'!M:M,$J289)="","",INDEX('Прайс и заказ'!M:M,$J289)))</f>
      </c>
      <c r="J289" t="str">
        <f>IFERROR(MATCH(281,'Прайс и заказ'!$N$7:$N$781,0)+6,0)</f>
      </c>
    </row>
    <row r="290" spans="1:11" customHeight="1" ht="40">
      <c r="A290" s="13" t="str">
        <f>IF($J290=0,"",IFERROR(_xlfn.IMAGE(INDEX('Прайс и заказ'!$O:$O,$J290)),""))</f>
      </c>
      <c r="B290" s="61" t="str">
        <f>IF($J290=0,"",IF(INDEX('Прайс и заказ'!B:B,$J290)="","",INDEX('Прайс и заказ'!B:B,$J290)))</f>
      </c>
      <c r="C290" s="64" t="str">
        <f>IF($J290=0,"",IF(INDEX('Прайс и заказ'!C:C,$J290)="","",INDEX('Прайс и заказ'!C:C,$J290)))</f>
      </c>
      <c r="D290" s="64" t="str">
        <f>IF($J290=0,"",IF(INDEX('Прайс и заказ'!D:D,$J290)="","",INDEX('Прайс и заказ'!D:D,$J290)))</f>
      </c>
      <c r="E290" s="61" t="str">
        <f>IF($J290=0,"",IF(INDEX('Прайс и заказ'!F:F,$J290)="","",INDEX('Прайс и заказ'!F:F,$J290)))</f>
      </c>
      <c r="F290" s="62" t="str">
        <f>IF($J290=0,"",IF(INDEX('Прайс и заказ'!I:I,$J290)="","",INDEX('Прайс и заказ'!I:I,$J290)))</f>
      </c>
      <c r="G290" s="63" t="str">
        <f>IF($J290=0,"",IF(INDEX('Прайс и заказ'!K:K,$J290)="","",INDEX('Прайс и заказ'!K:K,$J290)))</f>
      </c>
      <c r="H290" s="62" t="str">
        <f>IF($J290=0,"",IF(INDEX('Прайс и заказ'!L:L,$J290)="","",INDEX('Прайс и заказ'!L:L,$J290)))</f>
      </c>
      <c r="I290" s="13" t="str">
        <f>IF($J290=0,"",IF(INDEX('Прайс и заказ'!M:M,$J290)="","",INDEX('Прайс и заказ'!M:M,$J290)))</f>
      </c>
      <c r="J290" t="str">
        <f>IFERROR(MATCH(282,'Прайс и заказ'!$N$7:$N$781,0)+6,0)</f>
      </c>
    </row>
    <row r="291" spans="1:11" customHeight="1" ht="40">
      <c r="A291" s="13" t="str">
        <f>IF($J291=0,"",IFERROR(_xlfn.IMAGE(INDEX('Прайс и заказ'!$O:$O,$J291)),""))</f>
      </c>
      <c r="B291" s="61" t="str">
        <f>IF($J291=0,"",IF(INDEX('Прайс и заказ'!B:B,$J291)="","",INDEX('Прайс и заказ'!B:B,$J291)))</f>
      </c>
      <c r="C291" s="64" t="str">
        <f>IF($J291=0,"",IF(INDEX('Прайс и заказ'!C:C,$J291)="","",INDEX('Прайс и заказ'!C:C,$J291)))</f>
      </c>
      <c r="D291" s="64" t="str">
        <f>IF($J291=0,"",IF(INDEX('Прайс и заказ'!D:D,$J291)="","",INDEX('Прайс и заказ'!D:D,$J291)))</f>
      </c>
      <c r="E291" s="61" t="str">
        <f>IF($J291=0,"",IF(INDEX('Прайс и заказ'!F:F,$J291)="","",INDEX('Прайс и заказ'!F:F,$J291)))</f>
      </c>
      <c r="F291" s="62" t="str">
        <f>IF($J291=0,"",IF(INDEX('Прайс и заказ'!I:I,$J291)="","",INDEX('Прайс и заказ'!I:I,$J291)))</f>
      </c>
      <c r="G291" s="63" t="str">
        <f>IF($J291=0,"",IF(INDEX('Прайс и заказ'!K:K,$J291)="","",INDEX('Прайс и заказ'!K:K,$J291)))</f>
      </c>
      <c r="H291" s="62" t="str">
        <f>IF($J291=0,"",IF(INDEX('Прайс и заказ'!L:L,$J291)="","",INDEX('Прайс и заказ'!L:L,$J291)))</f>
      </c>
      <c r="I291" s="13" t="str">
        <f>IF($J291=0,"",IF(INDEX('Прайс и заказ'!M:M,$J291)="","",INDEX('Прайс и заказ'!M:M,$J291)))</f>
      </c>
      <c r="J291" t="str">
        <f>IFERROR(MATCH(283,'Прайс и заказ'!$N$7:$N$781,0)+6,0)</f>
      </c>
    </row>
    <row r="292" spans="1:11" customHeight="1" ht="40">
      <c r="A292" s="13" t="str">
        <f>IF($J292=0,"",IFERROR(_xlfn.IMAGE(INDEX('Прайс и заказ'!$O:$O,$J292)),""))</f>
      </c>
      <c r="B292" s="61" t="str">
        <f>IF($J292=0,"",IF(INDEX('Прайс и заказ'!B:B,$J292)="","",INDEX('Прайс и заказ'!B:B,$J292)))</f>
      </c>
      <c r="C292" s="64" t="str">
        <f>IF($J292=0,"",IF(INDEX('Прайс и заказ'!C:C,$J292)="","",INDEX('Прайс и заказ'!C:C,$J292)))</f>
      </c>
      <c r="D292" s="64" t="str">
        <f>IF($J292=0,"",IF(INDEX('Прайс и заказ'!D:D,$J292)="","",INDEX('Прайс и заказ'!D:D,$J292)))</f>
      </c>
      <c r="E292" s="61" t="str">
        <f>IF($J292=0,"",IF(INDEX('Прайс и заказ'!F:F,$J292)="","",INDEX('Прайс и заказ'!F:F,$J292)))</f>
      </c>
      <c r="F292" s="62" t="str">
        <f>IF($J292=0,"",IF(INDEX('Прайс и заказ'!I:I,$J292)="","",INDEX('Прайс и заказ'!I:I,$J292)))</f>
      </c>
      <c r="G292" s="63" t="str">
        <f>IF($J292=0,"",IF(INDEX('Прайс и заказ'!K:K,$J292)="","",INDEX('Прайс и заказ'!K:K,$J292)))</f>
      </c>
      <c r="H292" s="62" t="str">
        <f>IF($J292=0,"",IF(INDEX('Прайс и заказ'!L:L,$J292)="","",INDEX('Прайс и заказ'!L:L,$J292)))</f>
      </c>
      <c r="I292" s="13" t="str">
        <f>IF($J292=0,"",IF(INDEX('Прайс и заказ'!M:M,$J292)="","",INDEX('Прайс и заказ'!M:M,$J292)))</f>
      </c>
      <c r="J292" t="str">
        <f>IFERROR(MATCH(284,'Прайс и заказ'!$N$7:$N$781,0)+6,0)</f>
      </c>
    </row>
    <row r="293" spans="1:11" customHeight="1" ht="40">
      <c r="A293" s="13" t="str">
        <f>IF($J293=0,"",IFERROR(_xlfn.IMAGE(INDEX('Прайс и заказ'!$O:$O,$J293)),""))</f>
      </c>
      <c r="B293" s="61" t="str">
        <f>IF($J293=0,"",IF(INDEX('Прайс и заказ'!B:B,$J293)="","",INDEX('Прайс и заказ'!B:B,$J293)))</f>
      </c>
      <c r="C293" s="64" t="str">
        <f>IF($J293=0,"",IF(INDEX('Прайс и заказ'!C:C,$J293)="","",INDEX('Прайс и заказ'!C:C,$J293)))</f>
      </c>
      <c r="D293" s="64" t="str">
        <f>IF($J293=0,"",IF(INDEX('Прайс и заказ'!D:D,$J293)="","",INDEX('Прайс и заказ'!D:D,$J293)))</f>
      </c>
      <c r="E293" s="61" t="str">
        <f>IF($J293=0,"",IF(INDEX('Прайс и заказ'!F:F,$J293)="","",INDEX('Прайс и заказ'!F:F,$J293)))</f>
      </c>
      <c r="F293" s="62" t="str">
        <f>IF($J293=0,"",IF(INDEX('Прайс и заказ'!I:I,$J293)="","",INDEX('Прайс и заказ'!I:I,$J293)))</f>
      </c>
      <c r="G293" s="63" t="str">
        <f>IF($J293=0,"",IF(INDEX('Прайс и заказ'!K:K,$J293)="","",INDEX('Прайс и заказ'!K:K,$J293)))</f>
      </c>
      <c r="H293" s="62" t="str">
        <f>IF($J293=0,"",IF(INDEX('Прайс и заказ'!L:L,$J293)="","",INDEX('Прайс и заказ'!L:L,$J293)))</f>
      </c>
      <c r="I293" s="13" t="str">
        <f>IF($J293=0,"",IF(INDEX('Прайс и заказ'!M:M,$J293)="","",INDEX('Прайс и заказ'!M:M,$J293)))</f>
      </c>
      <c r="J293" t="str">
        <f>IFERROR(MATCH(285,'Прайс и заказ'!$N$7:$N$781,0)+6,0)</f>
      </c>
    </row>
    <row r="294" spans="1:11" customHeight="1" ht="40">
      <c r="A294" s="13" t="str">
        <f>IF($J294=0,"",IFERROR(_xlfn.IMAGE(INDEX('Прайс и заказ'!$O:$O,$J294)),""))</f>
      </c>
      <c r="B294" s="61" t="str">
        <f>IF($J294=0,"",IF(INDEX('Прайс и заказ'!B:B,$J294)="","",INDEX('Прайс и заказ'!B:B,$J294)))</f>
      </c>
      <c r="C294" s="64" t="str">
        <f>IF($J294=0,"",IF(INDEX('Прайс и заказ'!C:C,$J294)="","",INDEX('Прайс и заказ'!C:C,$J294)))</f>
      </c>
      <c r="D294" s="64" t="str">
        <f>IF($J294=0,"",IF(INDEX('Прайс и заказ'!D:D,$J294)="","",INDEX('Прайс и заказ'!D:D,$J294)))</f>
      </c>
      <c r="E294" s="61" t="str">
        <f>IF($J294=0,"",IF(INDEX('Прайс и заказ'!F:F,$J294)="","",INDEX('Прайс и заказ'!F:F,$J294)))</f>
      </c>
      <c r="F294" s="62" t="str">
        <f>IF($J294=0,"",IF(INDEX('Прайс и заказ'!I:I,$J294)="","",INDEX('Прайс и заказ'!I:I,$J294)))</f>
      </c>
      <c r="G294" s="63" t="str">
        <f>IF($J294=0,"",IF(INDEX('Прайс и заказ'!K:K,$J294)="","",INDEX('Прайс и заказ'!K:K,$J294)))</f>
      </c>
      <c r="H294" s="62" t="str">
        <f>IF($J294=0,"",IF(INDEX('Прайс и заказ'!L:L,$J294)="","",INDEX('Прайс и заказ'!L:L,$J294)))</f>
      </c>
      <c r="I294" s="13" t="str">
        <f>IF($J294=0,"",IF(INDEX('Прайс и заказ'!M:M,$J294)="","",INDEX('Прайс и заказ'!M:M,$J294)))</f>
      </c>
      <c r="J294" t="str">
        <f>IFERROR(MATCH(286,'Прайс и заказ'!$N$7:$N$781,0)+6,0)</f>
      </c>
    </row>
    <row r="295" spans="1:11" customHeight="1" ht="40">
      <c r="A295" s="13" t="str">
        <f>IF($J295=0,"",IFERROR(_xlfn.IMAGE(INDEX('Прайс и заказ'!$O:$O,$J295)),""))</f>
      </c>
      <c r="B295" s="61" t="str">
        <f>IF($J295=0,"",IF(INDEX('Прайс и заказ'!B:B,$J295)="","",INDEX('Прайс и заказ'!B:B,$J295)))</f>
      </c>
      <c r="C295" s="64" t="str">
        <f>IF($J295=0,"",IF(INDEX('Прайс и заказ'!C:C,$J295)="","",INDEX('Прайс и заказ'!C:C,$J295)))</f>
      </c>
      <c r="D295" s="64" t="str">
        <f>IF($J295=0,"",IF(INDEX('Прайс и заказ'!D:D,$J295)="","",INDEX('Прайс и заказ'!D:D,$J295)))</f>
      </c>
      <c r="E295" s="61" t="str">
        <f>IF($J295=0,"",IF(INDEX('Прайс и заказ'!F:F,$J295)="","",INDEX('Прайс и заказ'!F:F,$J295)))</f>
      </c>
      <c r="F295" s="62" t="str">
        <f>IF($J295=0,"",IF(INDEX('Прайс и заказ'!I:I,$J295)="","",INDEX('Прайс и заказ'!I:I,$J295)))</f>
      </c>
      <c r="G295" s="63" t="str">
        <f>IF($J295=0,"",IF(INDEX('Прайс и заказ'!K:K,$J295)="","",INDEX('Прайс и заказ'!K:K,$J295)))</f>
      </c>
      <c r="H295" s="62" t="str">
        <f>IF($J295=0,"",IF(INDEX('Прайс и заказ'!L:L,$J295)="","",INDEX('Прайс и заказ'!L:L,$J295)))</f>
      </c>
      <c r="I295" s="13" t="str">
        <f>IF($J295=0,"",IF(INDEX('Прайс и заказ'!M:M,$J295)="","",INDEX('Прайс и заказ'!M:M,$J295)))</f>
      </c>
      <c r="J295" t="str">
        <f>IFERROR(MATCH(287,'Прайс и заказ'!$N$7:$N$781,0)+6,0)</f>
      </c>
    </row>
    <row r="296" spans="1:11" customHeight="1" ht="40">
      <c r="A296" s="13" t="str">
        <f>IF($J296=0,"",IFERROR(_xlfn.IMAGE(INDEX('Прайс и заказ'!$O:$O,$J296)),""))</f>
      </c>
      <c r="B296" s="61" t="str">
        <f>IF($J296=0,"",IF(INDEX('Прайс и заказ'!B:B,$J296)="","",INDEX('Прайс и заказ'!B:B,$J296)))</f>
      </c>
      <c r="C296" s="64" t="str">
        <f>IF($J296=0,"",IF(INDEX('Прайс и заказ'!C:C,$J296)="","",INDEX('Прайс и заказ'!C:C,$J296)))</f>
      </c>
      <c r="D296" s="64" t="str">
        <f>IF($J296=0,"",IF(INDEX('Прайс и заказ'!D:D,$J296)="","",INDEX('Прайс и заказ'!D:D,$J296)))</f>
      </c>
      <c r="E296" s="61" t="str">
        <f>IF($J296=0,"",IF(INDEX('Прайс и заказ'!F:F,$J296)="","",INDEX('Прайс и заказ'!F:F,$J296)))</f>
      </c>
      <c r="F296" s="62" t="str">
        <f>IF($J296=0,"",IF(INDEX('Прайс и заказ'!I:I,$J296)="","",INDEX('Прайс и заказ'!I:I,$J296)))</f>
      </c>
      <c r="G296" s="63" t="str">
        <f>IF($J296=0,"",IF(INDEX('Прайс и заказ'!K:K,$J296)="","",INDEX('Прайс и заказ'!K:K,$J296)))</f>
      </c>
      <c r="H296" s="62" t="str">
        <f>IF($J296=0,"",IF(INDEX('Прайс и заказ'!L:L,$J296)="","",INDEX('Прайс и заказ'!L:L,$J296)))</f>
      </c>
      <c r="I296" s="13" t="str">
        <f>IF($J296=0,"",IF(INDEX('Прайс и заказ'!M:M,$J296)="","",INDEX('Прайс и заказ'!M:M,$J296)))</f>
      </c>
      <c r="J296" t="str">
        <f>IFERROR(MATCH(288,'Прайс и заказ'!$N$7:$N$781,0)+6,0)</f>
      </c>
    </row>
    <row r="297" spans="1:11" customHeight="1" ht="40">
      <c r="A297" s="13" t="str">
        <f>IF($J297=0,"",IFERROR(_xlfn.IMAGE(INDEX('Прайс и заказ'!$O:$O,$J297)),""))</f>
      </c>
      <c r="B297" s="61" t="str">
        <f>IF($J297=0,"",IF(INDEX('Прайс и заказ'!B:B,$J297)="","",INDEX('Прайс и заказ'!B:B,$J297)))</f>
      </c>
      <c r="C297" s="64" t="str">
        <f>IF($J297=0,"",IF(INDEX('Прайс и заказ'!C:C,$J297)="","",INDEX('Прайс и заказ'!C:C,$J297)))</f>
      </c>
      <c r="D297" s="64" t="str">
        <f>IF($J297=0,"",IF(INDEX('Прайс и заказ'!D:D,$J297)="","",INDEX('Прайс и заказ'!D:D,$J297)))</f>
      </c>
      <c r="E297" s="61" t="str">
        <f>IF($J297=0,"",IF(INDEX('Прайс и заказ'!F:F,$J297)="","",INDEX('Прайс и заказ'!F:F,$J297)))</f>
      </c>
      <c r="F297" s="62" t="str">
        <f>IF($J297=0,"",IF(INDEX('Прайс и заказ'!I:I,$J297)="","",INDEX('Прайс и заказ'!I:I,$J297)))</f>
      </c>
      <c r="G297" s="63" t="str">
        <f>IF($J297=0,"",IF(INDEX('Прайс и заказ'!K:K,$J297)="","",INDEX('Прайс и заказ'!K:K,$J297)))</f>
      </c>
      <c r="H297" s="62" t="str">
        <f>IF($J297=0,"",IF(INDEX('Прайс и заказ'!L:L,$J297)="","",INDEX('Прайс и заказ'!L:L,$J297)))</f>
      </c>
      <c r="I297" s="13" t="str">
        <f>IF($J297=0,"",IF(INDEX('Прайс и заказ'!M:M,$J297)="","",INDEX('Прайс и заказ'!M:M,$J297)))</f>
      </c>
      <c r="J297" t="str">
        <f>IFERROR(MATCH(289,'Прайс и заказ'!$N$7:$N$781,0)+6,0)</f>
      </c>
    </row>
    <row r="298" spans="1:11" customHeight="1" ht="40">
      <c r="A298" s="13" t="str">
        <f>IF($J298=0,"",IFERROR(_xlfn.IMAGE(INDEX('Прайс и заказ'!$O:$O,$J298)),""))</f>
      </c>
      <c r="B298" s="61" t="str">
        <f>IF($J298=0,"",IF(INDEX('Прайс и заказ'!B:B,$J298)="","",INDEX('Прайс и заказ'!B:B,$J298)))</f>
      </c>
      <c r="C298" s="64" t="str">
        <f>IF($J298=0,"",IF(INDEX('Прайс и заказ'!C:C,$J298)="","",INDEX('Прайс и заказ'!C:C,$J298)))</f>
      </c>
      <c r="D298" s="64" t="str">
        <f>IF($J298=0,"",IF(INDEX('Прайс и заказ'!D:D,$J298)="","",INDEX('Прайс и заказ'!D:D,$J298)))</f>
      </c>
      <c r="E298" s="61" t="str">
        <f>IF($J298=0,"",IF(INDEX('Прайс и заказ'!F:F,$J298)="","",INDEX('Прайс и заказ'!F:F,$J298)))</f>
      </c>
      <c r="F298" s="62" t="str">
        <f>IF($J298=0,"",IF(INDEX('Прайс и заказ'!I:I,$J298)="","",INDEX('Прайс и заказ'!I:I,$J298)))</f>
      </c>
      <c r="G298" s="63" t="str">
        <f>IF($J298=0,"",IF(INDEX('Прайс и заказ'!K:K,$J298)="","",INDEX('Прайс и заказ'!K:K,$J298)))</f>
      </c>
      <c r="H298" s="62" t="str">
        <f>IF($J298=0,"",IF(INDEX('Прайс и заказ'!L:L,$J298)="","",INDEX('Прайс и заказ'!L:L,$J298)))</f>
      </c>
      <c r="I298" s="13" t="str">
        <f>IF($J298=0,"",IF(INDEX('Прайс и заказ'!M:M,$J298)="","",INDEX('Прайс и заказ'!M:M,$J298)))</f>
      </c>
      <c r="J298" t="str">
        <f>IFERROR(MATCH(290,'Прайс и заказ'!$N$7:$N$781,0)+6,0)</f>
      </c>
    </row>
    <row r="299" spans="1:11" customHeight="1" ht="40">
      <c r="A299" s="13" t="str">
        <f>IF($J299=0,"",IFERROR(_xlfn.IMAGE(INDEX('Прайс и заказ'!$O:$O,$J299)),""))</f>
      </c>
      <c r="B299" s="61" t="str">
        <f>IF($J299=0,"",IF(INDEX('Прайс и заказ'!B:B,$J299)="","",INDEX('Прайс и заказ'!B:B,$J299)))</f>
      </c>
      <c r="C299" s="64" t="str">
        <f>IF($J299=0,"",IF(INDEX('Прайс и заказ'!C:C,$J299)="","",INDEX('Прайс и заказ'!C:C,$J299)))</f>
      </c>
      <c r="D299" s="64" t="str">
        <f>IF($J299=0,"",IF(INDEX('Прайс и заказ'!D:D,$J299)="","",INDEX('Прайс и заказ'!D:D,$J299)))</f>
      </c>
      <c r="E299" s="61" t="str">
        <f>IF($J299=0,"",IF(INDEX('Прайс и заказ'!F:F,$J299)="","",INDEX('Прайс и заказ'!F:F,$J299)))</f>
      </c>
      <c r="F299" s="62" t="str">
        <f>IF($J299=0,"",IF(INDEX('Прайс и заказ'!I:I,$J299)="","",INDEX('Прайс и заказ'!I:I,$J299)))</f>
      </c>
      <c r="G299" s="63" t="str">
        <f>IF($J299=0,"",IF(INDEX('Прайс и заказ'!K:K,$J299)="","",INDEX('Прайс и заказ'!K:K,$J299)))</f>
      </c>
      <c r="H299" s="62" t="str">
        <f>IF($J299=0,"",IF(INDEX('Прайс и заказ'!L:L,$J299)="","",INDEX('Прайс и заказ'!L:L,$J299)))</f>
      </c>
      <c r="I299" s="13" t="str">
        <f>IF($J299=0,"",IF(INDEX('Прайс и заказ'!M:M,$J299)="","",INDEX('Прайс и заказ'!M:M,$J299)))</f>
      </c>
      <c r="J299" t="str">
        <f>IFERROR(MATCH(291,'Прайс и заказ'!$N$7:$N$781,0)+6,0)</f>
      </c>
    </row>
    <row r="300" spans="1:11" customHeight="1" ht="40">
      <c r="A300" s="13" t="str">
        <f>IF($J300=0,"",IFERROR(_xlfn.IMAGE(INDEX('Прайс и заказ'!$O:$O,$J300)),""))</f>
      </c>
      <c r="B300" s="61" t="str">
        <f>IF($J300=0,"",IF(INDEX('Прайс и заказ'!B:B,$J300)="","",INDEX('Прайс и заказ'!B:B,$J300)))</f>
      </c>
      <c r="C300" s="64" t="str">
        <f>IF($J300=0,"",IF(INDEX('Прайс и заказ'!C:C,$J300)="","",INDEX('Прайс и заказ'!C:C,$J300)))</f>
      </c>
      <c r="D300" s="64" t="str">
        <f>IF($J300=0,"",IF(INDEX('Прайс и заказ'!D:D,$J300)="","",INDEX('Прайс и заказ'!D:D,$J300)))</f>
      </c>
      <c r="E300" s="61" t="str">
        <f>IF($J300=0,"",IF(INDEX('Прайс и заказ'!F:F,$J300)="","",INDEX('Прайс и заказ'!F:F,$J300)))</f>
      </c>
      <c r="F300" s="62" t="str">
        <f>IF($J300=0,"",IF(INDEX('Прайс и заказ'!I:I,$J300)="","",INDEX('Прайс и заказ'!I:I,$J300)))</f>
      </c>
      <c r="G300" s="63" t="str">
        <f>IF($J300=0,"",IF(INDEX('Прайс и заказ'!K:K,$J300)="","",INDEX('Прайс и заказ'!K:K,$J300)))</f>
      </c>
      <c r="H300" s="62" t="str">
        <f>IF($J300=0,"",IF(INDEX('Прайс и заказ'!L:L,$J300)="","",INDEX('Прайс и заказ'!L:L,$J300)))</f>
      </c>
      <c r="I300" s="13" t="str">
        <f>IF($J300=0,"",IF(INDEX('Прайс и заказ'!M:M,$J300)="","",INDEX('Прайс и заказ'!M:M,$J300)))</f>
      </c>
      <c r="J300" t="str">
        <f>IFERROR(MATCH(292,'Прайс и заказ'!$N$7:$N$781,0)+6,0)</f>
      </c>
    </row>
    <row r="301" spans="1:11" customHeight="1" ht="40">
      <c r="A301" s="13" t="str">
        <f>IF($J301=0,"",IFERROR(_xlfn.IMAGE(INDEX('Прайс и заказ'!$O:$O,$J301)),""))</f>
      </c>
      <c r="B301" s="61" t="str">
        <f>IF($J301=0,"",IF(INDEX('Прайс и заказ'!B:B,$J301)="","",INDEX('Прайс и заказ'!B:B,$J301)))</f>
      </c>
      <c r="C301" s="64" t="str">
        <f>IF($J301=0,"",IF(INDEX('Прайс и заказ'!C:C,$J301)="","",INDEX('Прайс и заказ'!C:C,$J301)))</f>
      </c>
      <c r="D301" s="64" t="str">
        <f>IF($J301=0,"",IF(INDEX('Прайс и заказ'!D:D,$J301)="","",INDEX('Прайс и заказ'!D:D,$J301)))</f>
      </c>
      <c r="E301" s="61" t="str">
        <f>IF($J301=0,"",IF(INDEX('Прайс и заказ'!F:F,$J301)="","",INDEX('Прайс и заказ'!F:F,$J301)))</f>
      </c>
      <c r="F301" s="62" t="str">
        <f>IF($J301=0,"",IF(INDEX('Прайс и заказ'!I:I,$J301)="","",INDEX('Прайс и заказ'!I:I,$J301)))</f>
      </c>
      <c r="G301" s="63" t="str">
        <f>IF($J301=0,"",IF(INDEX('Прайс и заказ'!K:K,$J301)="","",INDEX('Прайс и заказ'!K:K,$J301)))</f>
      </c>
      <c r="H301" s="62" t="str">
        <f>IF($J301=0,"",IF(INDEX('Прайс и заказ'!L:L,$J301)="","",INDEX('Прайс и заказ'!L:L,$J301)))</f>
      </c>
      <c r="I301" s="13" t="str">
        <f>IF($J301=0,"",IF(INDEX('Прайс и заказ'!M:M,$J301)="","",INDEX('Прайс и заказ'!M:M,$J301)))</f>
      </c>
      <c r="J301" t="str">
        <f>IFERROR(MATCH(293,'Прайс и заказ'!$N$7:$N$781,0)+6,0)</f>
      </c>
    </row>
    <row r="302" spans="1:11" customHeight="1" ht="40">
      <c r="A302" s="13" t="str">
        <f>IF($J302=0,"",IFERROR(_xlfn.IMAGE(INDEX('Прайс и заказ'!$O:$O,$J302)),""))</f>
      </c>
      <c r="B302" s="61" t="str">
        <f>IF($J302=0,"",IF(INDEX('Прайс и заказ'!B:B,$J302)="","",INDEX('Прайс и заказ'!B:B,$J302)))</f>
      </c>
      <c r="C302" s="64" t="str">
        <f>IF($J302=0,"",IF(INDEX('Прайс и заказ'!C:C,$J302)="","",INDEX('Прайс и заказ'!C:C,$J302)))</f>
      </c>
      <c r="D302" s="64" t="str">
        <f>IF($J302=0,"",IF(INDEX('Прайс и заказ'!D:D,$J302)="","",INDEX('Прайс и заказ'!D:D,$J302)))</f>
      </c>
      <c r="E302" s="61" t="str">
        <f>IF($J302=0,"",IF(INDEX('Прайс и заказ'!F:F,$J302)="","",INDEX('Прайс и заказ'!F:F,$J302)))</f>
      </c>
      <c r="F302" s="62" t="str">
        <f>IF($J302=0,"",IF(INDEX('Прайс и заказ'!I:I,$J302)="","",INDEX('Прайс и заказ'!I:I,$J302)))</f>
      </c>
      <c r="G302" s="63" t="str">
        <f>IF($J302=0,"",IF(INDEX('Прайс и заказ'!K:K,$J302)="","",INDEX('Прайс и заказ'!K:K,$J302)))</f>
      </c>
      <c r="H302" s="62" t="str">
        <f>IF($J302=0,"",IF(INDEX('Прайс и заказ'!L:L,$J302)="","",INDEX('Прайс и заказ'!L:L,$J302)))</f>
      </c>
      <c r="I302" s="13" t="str">
        <f>IF($J302=0,"",IF(INDEX('Прайс и заказ'!M:M,$J302)="","",INDEX('Прайс и заказ'!M:M,$J302)))</f>
      </c>
      <c r="J302" t="str">
        <f>IFERROR(MATCH(294,'Прайс и заказ'!$N$7:$N$781,0)+6,0)</f>
      </c>
    </row>
    <row r="303" spans="1:11" customHeight="1" ht="40">
      <c r="A303" s="13" t="str">
        <f>IF($J303=0,"",IFERROR(_xlfn.IMAGE(INDEX('Прайс и заказ'!$O:$O,$J303)),""))</f>
      </c>
      <c r="B303" s="61" t="str">
        <f>IF($J303=0,"",IF(INDEX('Прайс и заказ'!B:B,$J303)="","",INDEX('Прайс и заказ'!B:B,$J303)))</f>
      </c>
      <c r="C303" s="64" t="str">
        <f>IF($J303=0,"",IF(INDEX('Прайс и заказ'!C:C,$J303)="","",INDEX('Прайс и заказ'!C:C,$J303)))</f>
      </c>
      <c r="D303" s="64" t="str">
        <f>IF($J303=0,"",IF(INDEX('Прайс и заказ'!D:D,$J303)="","",INDEX('Прайс и заказ'!D:D,$J303)))</f>
      </c>
      <c r="E303" s="61" t="str">
        <f>IF($J303=0,"",IF(INDEX('Прайс и заказ'!F:F,$J303)="","",INDEX('Прайс и заказ'!F:F,$J303)))</f>
      </c>
      <c r="F303" s="62" t="str">
        <f>IF($J303=0,"",IF(INDEX('Прайс и заказ'!I:I,$J303)="","",INDEX('Прайс и заказ'!I:I,$J303)))</f>
      </c>
      <c r="G303" s="63" t="str">
        <f>IF($J303=0,"",IF(INDEX('Прайс и заказ'!K:K,$J303)="","",INDEX('Прайс и заказ'!K:K,$J303)))</f>
      </c>
      <c r="H303" s="62" t="str">
        <f>IF($J303=0,"",IF(INDEX('Прайс и заказ'!L:L,$J303)="","",INDEX('Прайс и заказ'!L:L,$J303)))</f>
      </c>
      <c r="I303" s="13" t="str">
        <f>IF($J303=0,"",IF(INDEX('Прайс и заказ'!M:M,$J303)="","",INDEX('Прайс и заказ'!M:M,$J303)))</f>
      </c>
      <c r="J303" t="str">
        <f>IFERROR(MATCH(295,'Прайс и заказ'!$N$7:$N$781,0)+6,0)</f>
      </c>
    </row>
    <row r="304" spans="1:11" customHeight="1" ht="40">
      <c r="A304" s="13" t="str">
        <f>IF($J304=0,"",IFERROR(_xlfn.IMAGE(INDEX('Прайс и заказ'!$O:$O,$J304)),""))</f>
      </c>
      <c r="B304" s="61" t="str">
        <f>IF($J304=0,"",IF(INDEX('Прайс и заказ'!B:B,$J304)="","",INDEX('Прайс и заказ'!B:B,$J304)))</f>
      </c>
      <c r="C304" s="64" t="str">
        <f>IF($J304=0,"",IF(INDEX('Прайс и заказ'!C:C,$J304)="","",INDEX('Прайс и заказ'!C:C,$J304)))</f>
      </c>
      <c r="D304" s="64" t="str">
        <f>IF($J304=0,"",IF(INDEX('Прайс и заказ'!D:D,$J304)="","",INDEX('Прайс и заказ'!D:D,$J304)))</f>
      </c>
      <c r="E304" s="61" t="str">
        <f>IF($J304=0,"",IF(INDEX('Прайс и заказ'!F:F,$J304)="","",INDEX('Прайс и заказ'!F:F,$J304)))</f>
      </c>
      <c r="F304" s="62" t="str">
        <f>IF($J304=0,"",IF(INDEX('Прайс и заказ'!I:I,$J304)="","",INDEX('Прайс и заказ'!I:I,$J304)))</f>
      </c>
      <c r="G304" s="63" t="str">
        <f>IF($J304=0,"",IF(INDEX('Прайс и заказ'!K:K,$J304)="","",INDEX('Прайс и заказ'!K:K,$J304)))</f>
      </c>
      <c r="H304" s="62" t="str">
        <f>IF($J304=0,"",IF(INDEX('Прайс и заказ'!L:L,$J304)="","",INDEX('Прайс и заказ'!L:L,$J304)))</f>
      </c>
      <c r="I304" s="13" t="str">
        <f>IF($J304=0,"",IF(INDEX('Прайс и заказ'!M:M,$J304)="","",INDEX('Прайс и заказ'!M:M,$J304)))</f>
      </c>
      <c r="J304" t="str">
        <f>IFERROR(MATCH(296,'Прайс и заказ'!$N$7:$N$781,0)+6,0)</f>
      </c>
    </row>
    <row r="305" spans="1:11" customHeight="1" ht="40">
      <c r="A305" s="13" t="str">
        <f>IF($J305=0,"",IFERROR(_xlfn.IMAGE(INDEX('Прайс и заказ'!$O:$O,$J305)),""))</f>
      </c>
      <c r="B305" s="61" t="str">
        <f>IF($J305=0,"",IF(INDEX('Прайс и заказ'!B:B,$J305)="","",INDEX('Прайс и заказ'!B:B,$J305)))</f>
      </c>
      <c r="C305" s="64" t="str">
        <f>IF($J305=0,"",IF(INDEX('Прайс и заказ'!C:C,$J305)="","",INDEX('Прайс и заказ'!C:C,$J305)))</f>
      </c>
      <c r="D305" s="64" t="str">
        <f>IF($J305=0,"",IF(INDEX('Прайс и заказ'!D:D,$J305)="","",INDEX('Прайс и заказ'!D:D,$J305)))</f>
      </c>
      <c r="E305" s="61" t="str">
        <f>IF($J305=0,"",IF(INDEX('Прайс и заказ'!F:F,$J305)="","",INDEX('Прайс и заказ'!F:F,$J305)))</f>
      </c>
      <c r="F305" s="62" t="str">
        <f>IF($J305=0,"",IF(INDEX('Прайс и заказ'!I:I,$J305)="","",INDEX('Прайс и заказ'!I:I,$J305)))</f>
      </c>
      <c r="G305" s="63" t="str">
        <f>IF($J305=0,"",IF(INDEX('Прайс и заказ'!K:K,$J305)="","",INDEX('Прайс и заказ'!K:K,$J305)))</f>
      </c>
      <c r="H305" s="62" t="str">
        <f>IF($J305=0,"",IF(INDEX('Прайс и заказ'!L:L,$J305)="","",INDEX('Прайс и заказ'!L:L,$J305)))</f>
      </c>
      <c r="I305" s="13" t="str">
        <f>IF($J305=0,"",IF(INDEX('Прайс и заказ'!M:M,$J305)="","",INDEX('Прайс и заказ'!M:M,$J305)))</f>
      </c>
      <c r="J305" t="str">
        <f>IFERROR(MATCH(297,'Прайс и заказ'!$N$7:$N$781,0)+6,0)</f>
      </c>
    </row>
    <row r="306" spans="1:11" customHeight="1" ht="40">
      <c r="A306" s="13" t="str">
        <f>IF($J306=0,"",IFERROR(_xlfn.IMAGE(INDEX('Прайс и заказ'!$O:$O,$J306)),""))</f>
      </c>
      <c r="B306" s="61" t="str">
        <f>IF($J306=0,"",IF(INDEX('Прайс и заказ'!B:B,$J306)="","",INDEX('Прайс и заказ'!B:B,$J306)))</f>
      </c>
      <c r="C306" s="64" t="str">
        <f>IF($J306=0,"",IF(INDEX('Прайс и заказ'!C:C,$J306)="","",INDEX('Прайс и заказ'!C:C,$J306)))</f>
      </c>
      <c r="D306" s="64" t="str">
        <f>IF($J306=0,"",IF(INDEX('Прайс и заказ'!D:D,$J306)="","",INDEX('Прайс и заказ'!D:D,$J306)))</f>
      </c>
      <c r="E306" s="61" t="str">
        <f>IF($J306=0,"",IF(INDEX('Прайс и заказ'!F:F,$J306)="","",INDEX('Прайс и заказ'!F:F,$J306)))</f>
      </c>
      <c r="F306" s="62" t="str">
        <f>IF($J306=0,"",IF(INDEX('Прайс и заказ'!I:I,$J306)="","",INDEX('Прайс и заказ'!I:I,$J306)))</f>
      </c>
      <c r="G306" s="63" t="str">
        <f>IF($J306=0,"",IF(INDEX('Прайс и заказ'!K:K,$J306)="","",INDEX('Прайс и заказ'!K:K,$J306)))</f>
      </c>
      <c r="H306" s="62" t="str">
        <f>IF($J306=0,"",IF(INDEX('Прайс и заказ'!L:L,$J306)="","",INDEX('Прайс и заказ'!L:L,$J306)))</f>
      </c>
      <c r="I306" s="13" t="str">
        <f>IF($J306=0,"",IF(INDEX('Прайс и заказ'!M:M,$J306)="","",INDEX('Прайс и заказ'!M:M,$J306)))</f>
      </c>
      <c r="J306" t="str">
        <f>IFERROR(MATCH(298,'Прайс и заказ'!$N$7:$N$781,0)+6,0)</f>
      </c>
    </row>
    <row r="307" spans="1:11" customHeight="1" ht="40">
      <c r="A307" s="13" t="str">
        <f>IF($J307=0,"",IFERROR(_xlfn.IMAGE(INDEX('Прайс и заказ'!$O:$O,$J307)),""))</f>
      </c>
      <c r="B307" s="61" t="str">
        <f>IF($J307=0,"",IF(INDEX('Прайс и заказ'!B:B,$J307)="","",INDEX('Прайс и заказ'!B:B,$J307)))</f>
      </c>
      <c r="C307" s="64" t="str">
        <f>IF($J307=0,"",IF(INDEX('Прайс и заказ'!C:C,$J307)="","",INDEX('Прайс и заказ'!C:C,$J307)))</f>
      </c>
      <c r="D307" s="64" t="str">
        <f>IF($J307=0,"",IF(INDEX('Прайс и заказ'!D:D,$J307)="","",INDEX('Прайс и заказ'!D:D,$J307)))</f>
      </c>
      <c r="E307" s="61" t="str">
        <f>IF($J307=0,"",IF(INDEX('Прайс и заказ'!F:F,$J307)="","",INDEX('Прайс и заказ'!F:F,$J307)))</f>
      </c>
      <c r="F307" s="62" t="str">
        <f>IF($J307=0,"",IF(INDEX('Прайс и заказ'!I:I,$J307)="","",INDEX('Прайс и заказ'!I:I,$J307)))</f>
      </c>
      <c r="G307" s="63" t="str">
        <f>IF($J307=0,"",IF(INDEX('Прайс и заказ'!K:K,$J307)="","",INDEX('Прайс и заказ'!K:K,$J307)))</f>
      </c>
      <c r="H307" s="62" t="str">
        <f>IF($J307=0,"",IF(INDEX('Прайс и заказ'!L:L,$J307)="","",INDEX('Прайс и заказ'!L:L,$J307)))</f>
      </c>
      <c r="I307" s="13" t="str">
        <f>IF($J307=0,"",IF(INDEX('Прайс и заказ'!M:M,$J307)="","",INDEX('Прайс и заказ'!M:M,$J307)))</f>
      </c>
      <c r="J307" t="str">
        <f>IFERROR(MATCH(299,'Прайс и заказ'!$N$7:$N$781,0)+6,0)</f>
      </c>
    </row>
    <row r="308" spans="1:11" customHeight="1" ht="40">
      <c r="A308" s="13" t="str">
        <f>IF($J308=0,"",IFERROR(_xlfn.IMAGE(INDEX('Прайс и заказ'!$O:$O,$J308)),""))</f>
      </c>
      <c r="B308" s="61" t="str">
        <f>IF($J308=0,"",IF(INDEX('Прайс и заказ'!B:B,$J308)="","",INDEX('Прайс и заказ'!B:B,$J308)))</f>
      </c>
      <c r="C308" s="64" t="str">
        <f>IF($J308=0,"",IF(INDEX('Прайс и заказ'!C:C,$J308)="","",INDEX('Прайс и заказ'!C:C,$J308)))</f>
      </c>
      <c r="D308" s="64" t="str">
        <f>IF($J308=0,"",IF(INDEX('Прайс и заказ'!D:D,$J308)="","",INDEX('Прайс и заказ'!D:D,$J308)))</f>
      </c>
      <c r="E308" s="61" t="str">
        <f>IF($J308=0,"",IF(INDEX('Прайс и заказ'!F:F,$J308)="","",INDEX('Прайс и заказ'!F:F,$J308)))</f>
      </c>
      <c r="F308" s="62" t="str">
        <f>IF($J308=0,"",IF(INDEX('Прайс и заказ'!I:I,$J308)="","",INDEX('Прайс и заказ'!I:I,$J308)))</f>
      </c>
      <c r="G308" s="63" t="str">
        <f>IF($J308=0,"",IF(INDEX('Прайс и заказ'!K:K,$J308)="","",INDEX('Прайс и заказ'!K:K,$J308)))</f>
      </c>
      <c r="H308" s="62" t="str">
        <f>IF($J308=0,"",IF(INDEX('Прайс и заказ'!L:L,$J308)="","",INDEX('Прайс и заказ'!L:L,$J308)))</f>
      </c>
      <c r="I308" s="13" t="str">
        <f>IF($J308=0,"",IF(INDEX('Прайс и заказ'!M:M,$J308)="","",INDEX('Прайс и заказ'!M:M,$J308)))</f>
      </c>
      <c r="J308" t="str">
        <f>IFERROR(MATCH(300,'Прайс и заказ'!$N$7:$N$781,0)+6,0)</f>
      </c>
    </row>
    <row r="309" spans="1:11" customHeight="1" ht="40">
      <c r="A309" s="13" t="str">
        <f>IF($J309=0,"",IFERROR(_xlfn.IMAGE(INDEX('Прайс и заказ'!$O:$O,$J309)),""))</f>
      </c>
      <c r="B309" s="61" t="str">
        <f>IF($J309=0,"",IF(INDEX('Прайс и заказ'!B:B,$J309)="","",INDEX('Прайс и заказ'!B:B,$J309)))</f>
      </c>
      <c r="C309" s="64" t="str">
        <f>IF($J309=0,"",IF(INDEX('Прайс и заказ'!C:C,$J309)="","",INDEX('Прайс и заказ'!C:C,$J309)))</f>
      </c>
      <c r="D309" s="64" t="str">
        <f>IF($J309=0,"",IF(INDEX('Прайс и заказ'!D:D,$J309)="","",INDEX('Прайс и заказ'!D:D,$J309)))</f>
      </c>
      <c r="E309" s="61" t="str">
        <f>IF($J309=0,"",IF(INDEX('Прайс и заказ'!F:F,$J309)="","",INDEX('Прайс и заказ'!F:F,$J309)))</f>
      </c>
      <c r="F309" s="62" t="str">
        <f>IF($J309=0,"",IF(INDEX('Прайс и заказ'!I:I,$J309)="","",INDEX('Прайс и заказ'!I:I,$J309)))</f>
      </c>
      <c r="G309" s="63" t="str">
        <f>IF($J309=0,"",IF(INDEX('Прайс и заказ'!K:K,$J309)="","",INDEX('Прайс и заказ'!K:K,$J309)))</f>
      </c>
      <c r="H309" s="62" t="str">
        <f>IF($J309=0,"",IF(INDEX('Прайс и заказ'!L:L,$J309)="","",INDEX('Прайс и заказ'!L:L,$J309)))</f>
      </c>
      <c r="I309" s="13" t="str">
        <f>IF($J309=0,"",IF(INDEX('Прайс и заказ'!M:M,$J309)="","",INDEX('Прайс и заказ'!M:M,$J309)))</f>
      </c>
      <c r="J309" t="str">
        <f>IFERROR(MATCH(301,'Прайс и заказ'!$N$7:$N$781,0)+6,0)</f>
      </c>
    </row>
    <row r="310" spans="1:11" customHeight="1" ht="40">
      <c r="A310" s="13" t="str">
        <f>IF($J310=0,"",IFERROR(_xlfn.IMAGE(INDEX('Прайс и заказ'!$O:$O,$J310)),""))</f>
      </c>
      <c r="B310" s="61" t="str">
        <f>IF($J310=0,"",IF(INDEX('Прайс и заказ'!B:B,$J310)="","",INDEX('Прайс и заказ'!B:B,$J310)))</f>
      </c>
      <c r="C310" s="64" t="str">
        <f>IF($J310=0,"",IF(INDEX('Прайс и заказ'!C:C,$J310)="","",INDEX('Прайс и заказ'!C:C,$J310)))</f>
      </c>
      <c r="D310" s="64" t="str">
        <f>IF($J310=0,"",IF(INDEX('Прайс и заказ'!D:D,$J310)="","",INDEX('Прайс и заказ'!D:D,$J310)))</f>
      </c>
      <c r="E310" s="61" t="str">
        <f>IF($J310=0,"",IF(INDEX('Прайс и заказ'!F:F,$J310)="","",INDEX('Прайс и заказ'!F:F,$J310)))</f>
      </c>
      <c r="F310" s="62" t="str">
        <f>IF($J310=0,"",IF(INDEX('Прайс и заказ'!I:I,$J310)="","",INDEX('Прайс и заказ'!I:I,$J310)))</f>
      </c>
      <c r="G310" s="63" t="str">
        <f>IF($J310=0,"",IF(INDEX('Прайс и заказ'!K:K,$J310)="","",INDEX('Прайс и заказ'!K:K,$J310)))</f>
      </c>
      <c r="H310" s="62" t="str">
        <f>IF($J310=0,"",IF(INDEX('Прайс и заказ'!L:L,$J310)="","",INDEX('Прайс и заказ'!L:L,$J310)))</f>
      </c>
      <c r="I310" s="13" t="str">
        <f>IF($J310=0,"",IF(INDEX('Прайс и заказ'!M:M,$J310)="","",INDEX('Прайс и заказ'!M:M,$J310)))</f>
      </c>
      <c r="J310" t="str">
        <f>IFERROR(MATCH(302,'Прайс и заказ'!$N$7:$N$781,0)+6,0)</f>
      </c>
    </row>
    <row r="311" spans="1:11" customHeight="1" ht="40">
      <c r="A311" s="13" t="str">
        <f>IF($J311=0,"",IFERROR(_xlfn.IMAGE(INDEX('Прайс и заказ'!$O:$O,$J311)),""))</f>
      </c>
      <c r="B311" s="61" t="str">
        <f>IF($J311=0,"",IF(INDEX('Прайс и заказ'!B:B,$J311)="","",INDEX('Прайс и заказ'!B:B,$J311)))</f>
      </c>
      <c r="C311" s="64" t="str">
        <f>IF($J311=0,"",IF(INDEX('Прайс и заказ'!C:C,$J311)="","",INDEX('Прайс и заказ'!C:C,$J311)))</f>
      </c>
      <c r="D311" s="64" t="str">
        <f>IF($J311=0,"",IF(INDEX('Прайс и заказ'!D:D,$J311)="","",INDEX('Прайс и заказ'!D:D,$J311)))</f>
      </c>
      <c r="E311" s="61" t="str">
        <f>IF($J311=0,"",IF(INDEX('Прайс и заказ'!F:F,$J311)="","",INDEX('Прайс и заказ'!F:F,$J311)))</f>
      </c>
      <c r="F311" s="62" t="str">
        <f>IF($J311=0,"",IF(INDEX('Прайс и заказ'!I:I,$J311)="","",INDEX('Прайс и заказ'!I:I,$J311)))</f>
      </c>
      <c r="G311" s="63" t="str">
        <f>IF($J311=0,"",IF(INDEX('Прайс и заказ'!K:K,$J311)="","",INDEX('Прайс и заказ'!K:K,$J311)))</f>
      </c>
      <c r="H311" s="62" t="str">
        <f>IF($J311=0,"",IF(INDEX('Прайс и заказ'!L:L,$J311)="","",INDEX('Прайс и заказ'!L:L,$J311)))</f>
      </c>
      <c r="I311" s="13" t="str">
        <f>IF($J311=0,"",IF(INDEX('Прайс и заказ'!M:M,$J311)="","",INDEX('Прайс и заказ'!M:M,$J311)))</f>
      </c>
      <c r="J311" t="str">
        <f>IFERROR(MATCH(303,'Прайс и заказ'!$N$7:$N$781,0)+6,0)</f>
      </c>
    </row>
    <row r="312" spans="1:11" customHeight="1" ht="40">
      <c r="A312" s="13" t="str">
        <f>IF($J312=0,"",IFERROR(_xlfn.IMAGE(INDEX('Прайс и заказ'!$O:$O,$J312)),""))</f>
      </c>
      <c r="B312" s="61" t="str">
        <f>IF($J312=0,"",IF(INDEX('Прайс и заказ'!B:B,$J312)="","",INDEX('Прайс и заказ'!B:B,$J312)))</f>
      </c>
      <c r="C312" s="64" t="str">
        <f>IF($J312=0,"",IF(INDEX('Прайс и заказ'!C:C,$J312)="","",INDEX('Прайс и заказ'!C:C,$J312)))</f>
      </c>
      <c r="D312" s="64" t="str">
        <f>IF($J312=0,"",IF(INDEX('Прайс и заказ'!D:D,$J312)="","",INDEX('Прайс и заказ'!D:D,$J312)))</f>
      </c>
      <c r="E312" s="61" t="str">
        <f>IF($J312=0,"",IF(INDEX('Прайс и заказ'!F:F,$J312)="","",INDEX('Прайс и заказ'!F:F,$J312)))</f>
      </c>
      <c r="F312" s="62" t="str">
        <f>IF($J312=0,"",IF(INDEX('Прайс и заказ'!I:I,$J312)="","",INDEX('Прайс и заказ'!I:I,$J312)))</f>
      </c>
      <c r="G312" s="63" t="str">
        <f>IF($J312=0,"",IF(INDEX('Прайс и заказ'!K:K,$J312)="","",INDEX('Прайс и заказ'!K:K,$J312)))</f>
      </c>
      <c r="H312" s="62" t="str">
        <f>IF($J312=0,"",IF(INDEX('Прайс и заказ'!L:L,$J312)="","",INDEX('Прайс и заказ'!L:L,$J312)))</f>
      </c>
      <c r="I312" s="13" t="str">
        <f>IF($J312=0,"",IF(INDEX('Прайс и заказ'!M:M,$J312)="","",INDEX('Прайс и заказ'!M:M,$J312)))</f>
      </c>
      <c r="J312" t="str">
        <f>IFERROR(MATCH(304,'Прайс и заказ'!$N$7:$N$781,0)+6,0)</f>
      </c>
    </row>
    <row r="313" spans="1:11" customHeight="1" ht="40">
      <c r="A313" s="13" t="str">
        <f>IF($J313=0,"",IFERROR(_xlfn.IMAGE(INDEX('Прайс и заказ'!$O:$O,$J313)),""))</f>
      </c>
      <c r="B313" s="61" t="str">
        <f>IF($J313=0,"",IF(INDEX('Прайс и заказ'!B:B,$J313)="","",INDEX('Прайс и заказ'!B:B,$J313)))</f>
      </c>
      <c r="C313" s="64" t="str">
        <f>IF($J313=0,"",IF(INDEX('Прайс и заказ'!C:C,$J313)="","",INDEX('Прайс и заказ'!C:C,$J313)))</f>
      </c>
      <c r="D313" s="64" t="str">
        <f>IF($J313=0,"",IF(INDEX('Прайс и заказ'!D:D,$J313)="","",INDEX('Прайс и заказ'!D:D,$J313)))</f>
      </c>
      <c r="E313" s="61" t="str">
        <f>IF($J313=0,"",IF(INDEX('Прайс и заказ'!F:F,$J313)="","",INDEX('Прайс и заказ'!F:F,$J313)))</f>
      </c>
      <c r="F313" s="62" t="str">
        <f>IF($J313=0,"",IF(INDEX('Прайс и заказ'!I:I,$J313)="","",INDEX('Прайс и заказ'!I:I,$J313)))</f>
      </c>
      <c r="G313" s="63" t="str">
        <f>IF($J313=0,"",IF(INDEX('Прайс и заказ'!K:K,$J313)="","",INDEX('Прайс и заказ'!K:K,$J313)))</f>
      </c>
      <c r="H313" s="62" t="str">
        <f>IF($J313=0,"",IF(INDEX('Прайс и заказ'!L:L,$J313)="","",INDEX('Прайс и заказ'!L:L,$J313)))</f>
      </c>
      <c r="I313" s="13" t="str">
        <f>IF($J313=0,"",IF(INDEX('Прайс и заказ'!M:M,$J313)="","",INDEX('Прайс и заказ'!M:M,$J313)))</f>
      </c>
      <c r="J313" t="str">
        <f>IFERROR(MATCH(305,'Прайс и заказ'!$N$7:$N$781,0)+6,0)</f>
      </c>
    </row>
    <row r="314" spans="1:11" customHeight="1" ht="40">
      <c r="A314" s="13" t="str">
        <f>IF($J314=0,"",IFERROR(_xlfn.IMAGE(INDEX('Прайс и заказ'!$O:$O,$J314)),""))</f>
      </c>
      <c r="B314" s="61" t="str">
        <f>IF($J314=0,"",IF(INDEX('Прайс и заказ'!B:B,$J314)="","",INDEX('Прайс и заказ'!B:B,$J314)))</f>
      </c>
      <c r="C314" s="64" t="str">
        <f>IF($J314=0,"",IF(INDEX('Прайс и заказ'!C:C,$J314)="","",INDEX('Прайс и заказ'!C:C,$J314)))</f>
      </c>
      <c r="D314" s="64" t="str">
        <f>IF($J314=0,"",IF(INDEX('Прайс и заказ'!D:D,$J314)="","",INDEX('Прайс и заказ'!D:D,$J314)))</f>
      </c>
      <c r="E314" s="61" t="str">
        <f>IF($J314=0,"",IF(INDEX('Прайс и заказ'!F:F,$J314)="","",INDEX('Прайс и заказ'!F:F,$J314)))</f>
      </c>
      <c r="F314" s="62" t="str">
        <f>IF($J314=0,"",IF(INDEX('Прайс и заказ'!I:I,$J314)="","",INDEX('Прайс и заказ'!I:I,$J314)))</f>
      </c>
      <c r="G314" s="63" t="str">
        <f>IF($J314=0,"",IF(INDEX('Прайс и заказ'!K:K,$J314)="","",INDEX('Прайс и заказ'!K:K,$J314)))</f>
      </c>
      <c r="H314" s="62" t="str">
        <f>IF($J314=0,"",IF(INDEX('Прайс и заказ'!L:L,$J314)="","",INDEX('Прайс и заказ'!L:L,$J314)))</f>
      </c>
      <c r="I314" s="13" t="str">
        <f>IF($J314=0,"",IF(INDEX('Прайс и заказ'!M:M,$J314)="","",INDEX('Прайс и заказ'!M:M,$J314)))</f>
      </c>
      <c r="J314" t="str">
        <f>IFERROR(MATCH(306,'Прайс и заказ'!$N$7:$N$781,0)+6,0)</f>
      </c>
    </row>
    <row r="315" spans="1:11" customHeight="1" ht="40">
      <c r="A315" s="13" t="str">
        <f>IF($J315=0,"",IFERROR(_xlfn.IMAGE(INDEX('Прайс и заказ'!$O:$O,$J315)),""))</f>
      </c>
      <c r="B315" s="61" t="str">
        <f>IF($J315=0,"",IF(INDEX('Прайс и заказ'!B:B,$J315)="","",INDEX('Прайс и заказ'!B:B,$J315)))</f>
      </c>
      <c r="C315" s="64" t="str">
        <f>IF($J315=0,"",IF(INDEX('Прайс и заказ'!C:C,$J315)="","",INDEX('Прайс и заказ'!C:C,$J315)))</f>
      </c>
      <c r="D315" s="64" t="str">
        <f>IF($J315=0,"",IF(INDEX('Прайс и заказ'!D:D,$J315)="","",INDEX('Прайс и заказ'!D:D,$J315)))</f>
      </c>
      <c r="E315" s="61" t="str">
        <f>IF($J315=0,"",IF(INDEX('Прайс и заказ'!F:F,$J315)="","",INDEX('Прайс и заказ'!F:F,$J315)))</f>
      </c>
      <c r="F315" s="62" t="str">
        <f>IF($J315=0,"",IF(INDEX('Прайс и заказ'!I:I,$J315)="","",INDEX('Прайс и заказ'!I:I,$J315)))</f>
      </c>
      <c r="G315" s="63" t="str">
        <f>IF($J315=0,"",IF(INDEX('Прайс и заказ'!K:K,$J315)="","",INDEX('Прайс и заказ'!K:K,$J315)))</f>
      </c>
      <c r="H315" s="62" t="str">
        <f>IF($J315=0,"",IF(INDEX('Прайс и заказ'!L:L,$J315)="","",INDEX('Прайс и заказ'!L:L,$J315)))</f>
      </c>
      <c r="I315" s="13" t="str">
        <f>IF($J315=0,"",IF(INDEX('Прайс и заказ'!M:M,$J315)="","",INDEX('Прайс и заказ'!M:M,$J315)))</f>
      </c>
      <c r="J315" t="str">
        <f>IFERROR(MATCH(307,'Прайс и заказ'!$N$7:$N$781,0)+6,0)</f>
      </c>
    </row>
    <row r="316" spans="1:11" customHeight="1" ht="40">
      <c r="A316" s="13" t="str">
        <f>IF($J316=0,"",IFERROR(_xlfn.IMAGE(INDEX('Прайс и заказ'!$O:$O,$J316)),""))</f>
      </c>
      <c r="B316" s="61" t="str">
        <f>IF($J316=0,"",IF(INDEX('Прайс и заказ'!B:B,$J316)="","",INDEX('Прайс и заказ'!B:B,$J316)))</f>
      </c>
      <c r="C316" s="64" t="str">
        <f>IF($J316=0,"",IF(INDEX('Прайс и заказ'!C:C,$J316)="","",INDEX('Прайс и заказ'!C:C,$J316)))</f>
      </c>
      <c r="D316" s="64" t="str">
        <f>IF($J316=0,"",IF(INDEX('Прайс и заказ'!D:D,$J316)="","",INDEX('Прайс и заказ'!D:D,$J316)))</f>
      </c>
      <c r="E316" s="61" t="str">
        <f>IF($J316=0,"",IF(INDEX('Прайс и заказ'!F:F,$J316)="","",INDEX('Прайс и заказ'!F:F,$J316)))</f>
      </c>
      <c r="F316" s="62" t="str">
        <f>IF($J316=0,"",IF(INDEX('Прайс и заказ'!I:I,$J316)="","",INDEX('Прайс и заказ'!I:I,$J316)))</f>
      </c>
      <c r="G316" s="63" t="str">
        <f>IF($J316=0,"",IF(INDEX('Прайс и заказ'!K:K,$J316)="","",INDEX('Прайс и заказ'!K:K,$J316)))</f>
      </c>
      <c r="H316" s="62" t="str">
        <f>IF($J316=0,"",IF(INDEX('Прайс и заказ'!L:L,$J316)="","",INDEX('Прайс и заказ'!L:L,$J316)))</f>
      </c>
      <c r="I316" s="13" t="str">
        <f>IF($J316=0,"",IF(INDEX('Прайс и заказ'!M:M,$J316)="","",INDEX('Прайс и заказ'!M:M,$J316)))</f>
      </c>
      <c r="J316" t="str">
        <f>IFERROR(MATCH(308,'Прайс и заказ'!$N$7:$N$781,0)+6,0)</f>
      </c>
    </row>
    <row r="317" spans="1:11" customHeight="1" ht="40">
      <c r="A317" s="13" t="str">
        <f>IF($J317=0,"",IFERROR(_xlfn.IMAGE(INDEX('Прайс и заказ'!$O:$O,$J317)),""))</f>
      </c>
      <c r="B317" s="61" t="str">
        <f>IF($J317=0,"",IF(INDEX('Прайс и заказ'!B:B,$J317)="","",INDEX('Прайс и заказ'!B:B,$J317)))</f>
      </c>
      <c r="C317" s="64" t="str">
        <f>IF($J317=0,"",IF(INDEX('Прайс и заказ'!C:C,$J317)="","",INDEX('Прайс и заказ'!C:C,$J317)))</f>
      </c>
      <c r="D317" s="64" t="str">
        <f>IF($J317=0,"",IF(INDEX('Прайс и заказ'!D:D,$J317)="","",INDEX('Прайс и заказ'!D:D,$J317)))</f>
      </c>
      <c r="E317" s="61" t="str">
        <f>IF($J317=0,"",IF(INDEX('Прайс и заказ'!F:F,$J317)="","",INDEX('Прайс и заказ'!F:F,$J317)))</f>
      </c>
      <c r="F317" s="62" t="str">
        <f>IF($J317=0,"",IF(INDEX('Прайс и заказ'!I:I,$J317)="","",INDEX('Прайс и заказ'!I:I,$J317)))</f>
      </c>
      <c r="G317" s="63" t="str">
        <f>IF($J317=0,"",IF(INDEX('Прайс и заказ'!K:K,$J317)="","",INDEX('Прайс и заказ'!K:K,$J317)))</f>
      </c>
      <c r="H317" s="62" t="str">
        <f>IF($J317=0,"",IF(INDEX('Прайс и заказ'!L:L,$J317)="","",INDEX('Прайс и заказ'!L:L,$J317)))</f>
      </c>
      <c r="I317" s="13" t="str">
        <f>IF($J317=0,"",IF(INDEX('Прайс и заказ'!M:M,$J317)="","",INDEX('Прайс и заказ'!M:M,$J317)))</f>
      </c>
      <c r="J317" t="str">
        <f>IFERROR(MATCH(309,'Прайс и заказ'!$N$7:$N$781,0)+6,0)</f>
      </c>
    </row>
    <row r="318" spans="1:11" customHeight="1" ht="40">
      <c r="A318" s="13" t="str">
        <f>IF($J318=0,"",IFERROR(_xlfn.IMAGE(INDEX('Прайс и заказ'!$O:$O,$J318)),""))</f>
      </c>
      <c r="B318" s="61" t="str">
        <f>IF($J318=0,"",IF(INDEX('Прайс и заказ'!B:B,$J318)="","",INDEX('Прайс и заказ'!B:B,$J318)))</f>
      </c>
      <c r="C318" s="64" t="str">
        <f>IF($J318=0,"",IF(INDEX('Прайс и заказ'!C:C,$J318)="","",INDEX('Прайс и заказ'!C:C,$J318)))</f>
      </c>
      <c r="D318" s="64" t="str">
        <f>IF($J318=0,"",IF(INDEX('Прайс и заказ'!D:D,$J318)="","",INDEX('Прайс и заказ'!D:D,$J318)))</f>
      </c>
      <c r="E318" s="61" t="str">
        <f>IF($J318=0,"",IF(INDEX('Прайс и заказ'!F:F,$J318)="","",INDEX('Прайс и заказ'!F:F,$J318)))</f>
      </c>
      <c r="F318" s="62" t="str">
        <f>IF($J318=0,"",IF(INDEX('Прайс и заказ'!I:I,$J318)="","",INDEX('Прайс и заказ'!I:I,$J318)))</f>
      </c>
      <c r="G318" s="63" t="str">
        <f>IF($J318=0,"",IF(INDEX('Прайс и заказ'!K:K,$J318)="","",INDEX('Прайс и заказ'!K:K,$J318)))</f>
      </c>
      <c r="H318" s="62" t="str">
        <f>IF($J318=0,"",IF(INDEX('Прайс и заказ'!L:L,$J318)="","",INDEX('Прайс и заказ'!L:L,$J318)))</f>
      </c>
      <c r="I318" s="13" t="str">
        <f>IF($J318=0,"",IF(INDEX('Прайс и заказ'!M:M,$J318)="","",INDEX('Прайс и заказ'!M:M,$J318)))</f>
      </c>
      <c r="J318" t="str">
        <f>IFERROR(MATCH(310,'Прайс и заказ'!$N$7:$N$781,0)+6,0)</f>
      </c>
    </row>
    <row r="319" spans="1:11" customHeight="1" ht="40">
      <c r="A319" s="13" t="str">
        <f>IF($J319=0,"",IFERROR(_xlfn.IMAGE(INDEX('Прайс и заказ'!$O:$O,$J319)),""))</f>
      </c>
      <c r="B319" s="61" t="str">
        <f>IF($J319=0,"",IF(INDEX('Прайс и заказ'!B:B,$J319)="","",INDEX('Прайс и заказ'!B:B,$J319)))</f>
      </c>
      <c r="C319" s="64" t="str">
        <f>IF($J319=0,"",IF(INDEX('Прайс и заказ'!C:C,$J319)="","",INDEX('Прайс и заказ'!C:C,$J319)))</f>
      </c>
      <c r="D319" s="64" t="str">
        <f>IF($J319=0,"",IF(INDEX('Прайс и заказ'!D:D,$J319)="","",INDEX('Прайс и заказ'!D:D,$J319)))</f>
      </c>
      <c r="E319" s="61" t="str">
        <f>IF($J319=0,"",IF(INDEX('Прайс и заказ'!F:F,$J319)="","",INDEX('Прайс и заказ'!F:F,$J319)))</f>
      </c>
      <c r="F319" s="62" t="str">
        <f>IF($J319=0,"",IF(INDEX('Прайс и заказ'!I:I,$J319)="","",INDEX('Прайс и заказ'!I:I,$J319)))</f>
      </c>
      <c r="G319" s="63" t="str">
        <f>IF($J319=0,"",IF(INDEX('Прайс и заказ'!K:K,$J319)="","",INDEX('Прайс и заказ'!K:K,$J319)))</f>
      </c>
      <c r="H319" s="62" t="str">
        <f>IF($J319=0,"",IF(INDEX('Прайс и заказ'!L:L,$J319)="","",INDEX('Прайс и заказ'!L:L,$J319)))</f>
      </c>
      <c r="I319" s="13" t="str">
        <f>IF($J319=0,"",IF(INDEX('Прайс и заказ'!M:M,$J319)="","",INDEX('Прайс и заказ'!M:M,$J319)))</f>
      </c>
      <c r="J319" t="str">
        <f>IFERROR(MATCH(311,'Прайс и заказ'!$N$7:$N$781,0)+6,0)</f>
      </c>
    </row>
    <row r="320" spans="1:11" customHeight="1" ht="40">
      <c r="A320" s="13" t="str">
        <f>IF($J320=0,"",IFERROR(_xlfn.IMAGE(INDEX('Прайс и заказ'!$O:$O,$J320)),""))</f>
      </c>
      <c r="B320" s="61" t="str">
        <f>IF($J320=0,"",IF(INDEX('Прайс и заказ'!B:B,$J320)="","",INDEX('Прайс и заказ'!B:B,$J320)))</f>
      </c>
      <c r="C320" s="64" t="str">
        <f>IF($J320=0,"",IF(INDEX('Прайс и заказ'!C:C,$J320)="","",INDEX('Прайс и заказ'!C:C,$J320)))</f>
      </c>
      <c r="D320" s="64" t="str">
        <f>IF($J320=0,"",IF(INDEX('Прайс и заказ'!D:D,$J320)="","",INDEX('Прайс и заказ'!D:D,$J320)))</f>
      </c>
      <c r="E320" s="61" t="str">
        <f>IF($J320=0,"",IF(INDEX('Прайс и заказ'!F:F,$J320)="","",INDEX('Прайс и заказ'!F:F,$J320)))</f>
      </c>
      <c r="F320" s="62" t="str">
        <f>IF($J320=0,"",IF(INDEX('Прайс и заказ'!I:I,$J320)="","",INDEX('Прайс и заказ'!I:I,$J320)))</f>
      </c>
      <c r="G320" s="63" t="str">
        <f>IF($J320=0,"",IF(INDEX('Прайс и заказ'!K:K,$J320)="","",INDEX('Прайс и заказ'!K:K,$J320)))</f>
      </c>
      <c r="H320" s="62" t="str">
        <f>IF($J320=0,"",IF(INDEX('Прайс и заказ'!L:L,$J320)="","",INDEX('Прайс и заказ'!L:L,$J320)))</f>
      </c>
      <c r="I320" s="13" t="str">
        <f>IF($J320=0,"",IF(INDEX('Прайс и заказ'!M:M,$J320)="","",INDEX('Прайс и заказ'!M:M,$J320)))</f>
      </c>
      <c r="J320" t="str">
        <f>IFERROR(MATCH(312,'Прайс и заказ'!$N$7:$N$781,0)+6,0)</f>
      </c>
    </row>
    <row r="321" spans="1:11" customHeight="1" ht="40">
      <c r="A321" s="13" t="str">
        <f>IF($J321=0,"",IFERROR(_xlfn.IMAGE(INDEX('Прайс и заказ'!$O:$O,$J321)),""))</f>
      </c>
      <c r="B321" s="61" t="str">
        <f>IF($J321=0,"",IF(INDEX('Прайс и заказ'!B:B,$J321)="","",INDEX('Прайс и заказ'!B:B,$J321)))</f>
      </c>
      <c r="C321" s="64" t="str">
        <f>IF($J321=0,"",IF(INDEX('Прайс и заказ'!C:C,$J321)="","",INDEX('Прайс и заказ'!C:C,$J321)))</f>
      </c>
      <c r="D321" s="64" t="str">
        <f>IF($J321=0,"",IF(INDEX('Прайс и заказ'!D:D,$J321)="","",INDEX('Прайс и заказ'!D:D,$J321)))</f>
      </c>
      <c r="E321" s="61" t="str">
        <f>IF($J321=0,"",IF(INDEX('Прайс и заказ'!F:F,$J321)="","",INDEX('Прайс и заказ'!F:F,$J321)))</f>
      </c>
      <c r="F321" s="62" t="str">
        <f>IF($J321=0,"",IF(INDEX('Прайс и заказ'!I:I,$J321)="","",INDEX('Прайс и заказ'!I:I,$J321)))</f>
      </c>
      <c r="G321" s="63" t="str">
        <f>IF($J321=0,"",IF(INDEX('Прайс и заказ'!K:K,$J321)="","",INDEX('Прайс и заказ'!K:K,$J321)))</f>
      </c>
      <c r="H321" s="62" t="str">
        <f>IF($J321=0,"",IF(INDEX('Прайс и заказ'!L:L,$J321)="","",INDEX('Прайс и заказ'!L:L,$J321)))</f>
      </c>
      <c r="I321" s="13" t="str">
        <f>IF($J321=0,"",IF(INDEX('Прайс и заказ'!M:M,$J321)="","",INDEX('Прайс и заказ'!M:M,$J321)))</f>
      </c>
      <c r="J321" t="str">
        <f>IFERROR(MATCH(313,'Прайс и заказ'!$N$7:$N$781,0)+6,0)</f>
      </c>
    </row>
    <row r="322" spans="1:11" customHeight="1" ht="40">
      <c r="A322" s="13" t="str">
        <f>IF($J322=0,"",IFERROR(_xlfn.IMAGE(INDEX('Прайс и заказ'!$O:$O,$J322)),""))</f>
      </c>
      <c r="B322" s="61" t="str">
        <f>IF($J322=0,"",IF(INDEX('Прайс и заказ'!B:B,$J322)="","",INDEX('Прайс и заказ'!B:B,$J322)))</f>
      </c>
      <c r="C322" s="64" t="str">
        <f>IF($J322=0,"",IF(INDEX('Прайс и заказ'!C:C,$J322)="","",INDEX('Прайс и заказ'!C:C,$J322)))</f>
      </c>
      <c r="D322" s="64" t="str">
        <f>IF($J322=0,"",IF(INDEX('Прайс и заказ'!D:D,$J322)="","",INDEX('Прайс и заказ'!D:D,$J322)))</f>
      </c>
      <c r="E322" s="61" t="str">
        <f>IF($J322=0,"",IF(INDEX('Прайс и заказ'!F:F,$J322)="","",INDEX('Прайс и заказ'!F:F,$J322)))</f>
      </c>
      <c r="F322" s="62" t="str">
        <f>IF($J322=0,"",IF(INDEX('Прайс и заказ'!I:I,$J322)="","",INDEX('Прайс и заказ'!I:I,$J322)))</f>
      </c>
      <c r="G322" s="63" t="str">
        <f>IF($J322=0,"",IF(INDEX('Прайс и заказ'!K:K,$J322)="","",INDEX('Прайс и заказ'!K:K,$J322)))</f>
      </c>
      <c r="H322" s="62" t="str">
        <f>IF($J322=0,"",IF(INDEX('Прайс и заказ'!L:L,$J322)="","",INDEX('Прайс и заказ'!L:L,$J322)))</f>
      </c>
      <c r="I322" s="13" t="str">
        <f>IF($J322=0,"",IF(INDEX('Прайс и заказ'!M:M,$J322)="","",INDEX('Прайс и заказ'!M:M,$J322)))</f>
      </c>
      <c r="J322" t="str">
        <f>IFERROR(MATCH(314,'Прайс и заказ'!$N$7:$N$781,0)+6,0)</f>
      </c>
    </row>
    <row r="323" spans="1:11" customHeight="1" ht="40">
      <c r="A323" s="13" t="str">
        <f>IF($J323=0,"",IFERROR(_xlfn.IMAGE(INDEX('Прайс и заказ'!$O:$O,$J323)),""))</f>
      </c>
      <c r="B323" s="61" t="str">
        <f>IF($J323=0,"",IF(INDEX('Прайс и заказ'!B:B,$J323)="","",INDEX('Прайс и заказ'!B:B,$J323)))</f>
      </c>
      <c r="C323" s="64" t="str">
        <f>IF($J323=0,"",IF(INDEX('Прайс и заказ'!C:C,$J323)="","",INDEX('Прайс и заказ'!C:C,$J323)))</f>
      </c>
      <c r="D323" s="64" t="str">
        <f>IF($J323=0,"",IF(INDEX('Прайс и заказ'!D:D,$J323)="","",INDEX('Прайс и заказ'!D:D,$J323)))</f>
      </c>
      <c r="E323" s="61" t="str">
        <f>IF($J323=0,"",IF(INDEX('Прайс и заказ'!F:F,$J323)="","",INDEX('Прайс и заказ'!F:F,$J323)))</f>
      </c>
      <c r="F323" s="62" t="str">
        <f>IF($J323=0,"",IF(INDEX('Прайс и заказ'!I:I,$J323)="","",INDEX('Прайс и заказ'!I:I,$J323)))</f>
      </c>
      <c r="G323" s="63" t="str">
        <f>IF($J323=0,"",IF(INDEX('Прайс и заказ'!K:K,$J323)="","",INDEX('Прайс и заказ'!K:K,$J323)))</f>
      </c>
      <c r="H323" s="62" t="str">
        <f>IF($J323=0,"",IF(INDEX('Прайс и заказ'!L:L,$J323)="","",INDEX('Прайс и заказ'!L:L,$J323)))</f>
      </c>
      <c r="I323" s="13" t="str">
        <f>IF($J323=0,"",IF(INDEX('Прайс и заказ'!M:M,$J323)="","",INDEX('Прайс и заказ'!M:M,$J323)))</f>
      </c>
      <c r="J323" t="str">
        <f>IFERROR(MATCH(315,'Прайс и заказ'!$N$7:$N$781,0)+6,0)</f>
      </c>
    </row>
    <row r="324" spans="1:11" customHeight="1" ht="40">
      <c r="A324" s="13" t="str">
        <f>IF($J324=0,"",IFERROR(_xlfn.IMAGE(INDEX('Прайс и заказ'!$O:$O,$J324)),""))</f>
      </c>
      <c r="B324" s="61" t="str">
        <f>IF($J324=0,"",IF(INDEX('Прайс и заказ'!B:B,$J324)="","",INDEX('Прайс и заказ'!B:B,$J324)))</f>
      </c>
      <c r="C324" s="64" t="str">
        <f>IF($J324=0,"",IF(INDEX('Прайс и заказ'!C:C,$J324)="","",INDEX('Прайс и заказ'!C:C,$J324)))</f>
      </c>
      <c r="D324" s="64" t="str">
        <f>IF($J324=0,"",IF(INDEX('Прайс и заказ'!D:D,$J324)="","",INDEX('Прайс и заказ'!D:D,$J324)))</f>
      </c>
      <c r="E324" s="61" t="str">
        <f>IF($J324=0,"",IF(INDEX('Прайс и заказ'!F:F,$J324)="","",INDEX('Прайс и заказ'!F:F,$J324)))</f>
      </c>
      <c r="F324" s="62" t="str">
        <f>IF($J324=0,"",IF(INDEX('Прайс и заказ'!I:I,$J324)="","",INDEX('Прайс и заказ'!I:I,$J324)))</f>
      </c>
      <c r="G324" s="63" t="str">
        <f>IF($J324=0,"",IF(INDEX('Прайс и заказ'!K:K,$J324)="","",INDEX('Прайс и заказ'!K:K,$J324)))</f>
      </c>
      <c r="H324" s="62" t="str">
        <f>IF($J324=0,"",IF(INDEX('Прайс и заказ'!L:L,$J324)="","",INDEX('Прайс и заказ'!L:L,$J324)))</f>
      </c>
      <c r="I324" s="13" t="str">
        <f>IF($J324=0,"",IF(INDEX('Прайс и заказ'!M:M,$J324)="","",INDEX('Прайс и заказ'!M:M,$J324)))</f>
      </c>
      <c r="J324" t="str">
        <f>IFERROR(MATCH(316,'Прайс и заказ'!$N$7:$N$781,0)+6,0)</f>
      </c>
    </row>
    <row r="325" spans="1:11" customHeight="1" ht="40">
      <c r="A325" s="13" t="str">
        <f>IF($J325=0,"",IFERROR(_xlfn.IMAGE(INDEX('Прайс и заказ'!$O:$O,$J325)),""))</f>
      </c>
      <c r="B325" s="61" t="str">
        <f>IF($J325=0,"",IF(INDEX('Прайс и заказ'!B:B,$J325)="","",INDEX('Прайс и заказ'!B:B,$J325)))</f>
      </c>
      <c r="C325" s="64" t="str">
        <f>IF($J325=0,"",IF(INDEX('Прайс и заказ'!C:C,$J325)="","",INDEX('Прайс и заказ'!C:C,$J325)))</f>
      </c>
      <c r="D325" s="64" t="str">
        <f>IF($J325=0,"",IF(INDEX('Прайс и заказ'!D:D,$J325)="","",INDEX('Прайс и заказ'!D:D,$J325)))</f>
      </c>
      <c r="E325" s="61" t="str">
        <f>IF($J325=0,"",IF(INDEX('Прайс и заказ'!F:F,$J325)="","",INDEX('Прайс и заказ'!F:F,$J325)))</f>
      </c>
      <c r="F325" s="62" t="str">
        <f>IF($J325=0,"",IF(INDEX('Прайс и заказ'!I:I,$J325)="","",INDEX('Прайс и заказ'!I:I,$J325)))</f>
      </c>
      <c r="G325" s="63" t="str">
        <f>IF($J325=0,"",IF(INDEX('Прайс и заказ'!K:K,$J325)="","",INDEX('Прайс и заказ'!K:K,$J325)))</f>
      </c>
      <c r="H325" s="62" t="str">
        <f>IF($J325=0,"",IF(INDEX('Прайс и заказ'!L:L,$J325)="","",INDEX('Прайс и заказ'!L:L,$J325)))</f>
      </c>
      <c r="I325" s="13" t="str">
        <f>IF($J325=0,"",IF(INDEX('Прайс и заказ'!M:M,$J325)="","",INDEX('Прайс и заказ'!M:M,$J325)))</f>
      </c>
      <c r="J325" t="str">
        <f>IFERROR(MATCH(317,'Прайс и заказ'!$N$7:$N$781,0)+6,0)</f>
      </c>
    </row>
    <row r="326" spans="1:11" customHeight="1" ht="40">
      <c r="A326" s="13" t="str">
        <f>IF($J326=0,"",IFERROR(_xlfn.IMAGE(INDEX('Прайс и заказ'!$O:$O,$J326)),""))</f>
      </c>
      <c r="B326" s="61" t="str">
        <f>IF($J326=0,"",IF(INDEX('Прайс и заказ'!B:B,$J326)="","",INDEX('Прайс и заказ'!B:B,$J326)))</f>
      </c>
      <c r="C326" s="64" t="str">
        <f>IF($J326=0,"",IF(INDEX('Прайс и заказ'!C:C,$J326)="","",INDEX('Прайс и заказ'!C:C,$J326)))</f>
      </c>
      <c r="D326" s="64" t="str">
        <f>IF($J326=0,"",IF(INDEX('Прайс и заказ'!D:D,$J326)="","",INDEX('Прайс и заказ'!D:D,$J326)))</f>
      </c>
      <c r="E326" s="61" t="str">
        <f>IF($J326=0,"",IF(INDEX('Прайс и заказ'!F:F,$J326)="","",INDEX('Прайс и заказ'!F:F,$J326)))</f>
      </c>
      <c r="F326" s="62" t="str">
        <f>IF($J326=0,"",IF(INDEX('Прайс и заказ'!I:I,$J326)="","",INDEX('Прайс и заказ'!I:I,$J326)))</f>
      </c>
      <c r="G326" s="63" t="str">
        <f>IF($J326=0,"",IF(INDEX('Прайс и заказ'!K:K,$J326)="","",INDEX('Прайс и заказ'!K:K,$J326)))</f>
      </c>
      <c r="H326" s="62" t="str">
        <f>IF($J326=0,"",IF(INDEX('Прайс и заказ'!L:L,$J326)="","",INDEX('Прайс и заказ'!L:L,$J326)))</f>
      </c>
      <c r="I326" s="13" t="str">
        <f>IF($J326=0,"",IF(INDEX('Прайс и заказ'!M:M,$J326)="","",INDEX('Прайс и заказ'!M:M,$J326)))</f>
      </c>
      <c r="J326" t="str">
        <f>IFERROR(MATCH(318,'Прайс и заказ'!$N$7:$N$781,0)+6,0)</f>
      </c>
    </row>
    <row r="327" spans="1:11" customHeight="1" ht="40">
      <c r="A327" s="13" t="str">
        <f>IF($J327=0,"",IFERROR(_xlfn.IMAGE(INDEX('Прайс и заказ'!$O:$O,$J327)),""))</f>
      </c>
      <c r="B327" s="61" t="str">
        <f>IF($J327=0,"",IF(INDEX('Прайс и заказ'!B:B,$J327)="","",INDEX('Прайс и заказ'!B:B,$J327)))</f>
      </c>
      <c r="C327" s="64" t="str">
        <f>IF($J327=0,"",IF(INDEX('Прайс и заказ'!C:C,$J327)="","",INDEX('Прайс и заказ'!C:C,$J327)))</f>
      </c>
      <c r="D327" s="64" t="str">
        <f>IF($J327=0,"",IF(INDEX('Прайс и заказ'!D:D,$J327)="","",INDEX('Прайс и заказ'!D:D,$J327)))</f>
      </c>
      <c r="E327" s="61" t="str">
        <f>IF($J327=0,"",IF(INDEX('Прайс и заказ'!F:F,$J327)="","",INDEX('Прайс и заказ'!F:F,$J327)))</f>
      </c>
      <c r="F327" s="62" t="str">
        <f>IF($J327=0,"",IF(INDEX('Прайс и заказ'!I:I,$J327)="","",INDEX('Прайс и заказ'!I:I,$J327)))</f>
      </c>
      <c r="G327" s="63" t="str">
        <f>IF($J327=0,"",IF(INDEX('Прайс и заказ'!K:K,$J327)="","",INDEX('Прайс и заказ'!K:K,$J327)))</f>
      </c>
      <c r="H327" s="62" t="str">
        <f>IF($J327=0,"",IF(INDEX('Прайс и заказ'!L:L,$J327)="","",INDEX('Прайс и заказ'!L:L,$J327)))</f>
      </c>
      <c r="I327" s="13" t="str">
        <f>IF($J327=0,"",IF(INDEX('Прайс и заказ'!M:M,$J327)="","",INDEX('Прайс и заказ'!M:M,$J327)))</f>
      </c>
      <c r="J327" t="str">
        <f>IFERROR(MATCH(319,'Прайс и заказ'!$N$7:$N$781,0)+6,0)</f>
      </c>
    </row>
    <row r="328" spans="1:11" customHeight="1" ht="40">
      <c r="A328" s="13" t="str">
        <f>IF($J328=0,"",IFERROR(_xlfn.IMAGE(INDEX('Прайс и заказ'!$O:$O,$J328)),""))</f>
      </c>
      <c r="B328" s="61" t="str">
        <f>IF($J328=0,"",IF(INDEX('Прайс и заказ'!B:B,$J328)="","",INDEX('Прайс и заказ'!B:B,$J328)))</f>
      </c>
      <c r="C328" s="64" t="str">
        <f>IF($J328=0,"",IF(INDEX('Прайс и заказ'!C:C,$J328)="","",INDEX('Прайс и заказ'!C:C,$J328)))</f>
      </c>
      <c r="D328" s="64" t="str">
        <f>IF($J328=0,"",IF(INDEX('Прайс и заказ'!D:D,$J328)="","",INDEX('Прайс и заказ'!D:D,$J328)))</f>
      </c>
      <c r="E328" s="61" t="str">
        <f>IF($J328=0,"",IF(INDEX('Прайс и заказ'!F:F,$J328)="","",INDEX('Прайс и заказ'!F:F,$J328)))</f>
      </c>
      <c r="F328" s="62" t="str">
        <f>IF($J328=0,"",IF(INDEX('Прайс и заказ'!I:I,$J328)="","",INDEX('Прайс и заказ'!I:I,$J328)))</f>
      </c>
      <c r="G328" s="63" t="str">
        <f>IF($J328=0,"",IF(INDEX('Прайс и заказ'!K:K,$J328)="","",INDEX('Прайс и заказ'!K:K,$J328)))</f>
      </c>
      <c r="H328" s="62" t="str">
        <f>IF($J328=0,"",IF(INDEX('Прайс и заказ'!L:L,$J328)="","",INDEX('Прайс и заказ'!L:L,$J328)))</f>
      </c>
      <c r="I328" s="13" t="str">
        <f>IF($J328=0,"",IF(INDEX('Прайс и заказ'!M:M,$J328)="","",INDEX('Прайс и заказ'!M:M,$J328)))</f>
      </c>
      <c r="J328" t="str">
        <f>IFERROR(MATCH(320,'Прайс и заказ'!$N$7:$N$781,0)+6,0)</f>
      </c>
    </row>
    <row r="329" spans="1:11" customHeight="1" ht="40">
      <c r="A329" s="13" t="str">
        <f>IF($J329=0,"",IFERROR(_xlfn.IMAGE(INDEX('Прайс и заказ'!$O:$O,$J329)),""))</f>
      </c>
      <c r="B329" s="61" t="str">
        <f>IF($J329=0,"",IF(INDEX('Прайс и заказ'!B:B,$J329)="","",INDEX('Прайс и заказ'!B:B,$J329)))</f>
      </c>
      <c r="C329" s="64" t="str">
        <f>IF($J329=0,"",IF(INDEX('Прайс и заказ'!C:C,$J329)="","",INDEX('Прайс и заказ'!C:C,$J329)))</f>
      </c>
      <c r="D329" s="64" t="str">
        <f>IF($J329=0,"",IF(INDEX('Прайс и заказ'!D:D,$J329)="","",INDEX('Прайс и заказ'!D:D,$J329)))</f>
      </c>
      <c r="E329" s="61" t="str">
        <f>IF($J329=0,"",IF(INDEX('Прайс и заказ'!F:F,$J329)="","",INDEX('Прайс и заказ'!F:F,$J329)))</f>
      </c>
      <c r="F329" s="62" t="str">
        <f>IF($J329=0,"",IF(INDEX('Прайс и заказ'!I:I,$J329)="","",INDEX('Прайс и заказ'!I:I,$J329)))</f>
      </c>
      <c r="G329" s="63" t="str">
        <f>IF($J329=0,"",IF(INDEX('Прайс и заказ'!K:K,$J329)="","",INDEX('Прайс и заказ'!K:K,$J329)))</f>
      </c>
      <c r="H329" s="62" t="str">
        <f>IF($J329=0,"",IF(INDEX('Прайс и заказ'!L:L,$J329)="","",INDEX('Прайс и заказ'!L:L,$J329)))</f>
      </c>
      <c r="I329" s="13" t="str">
        <f>IF($J329=0,"",IF(INDEX('Прайс и заказ'!M:M,$J329)="","",INDEX('Прайс и заказ'!M:M,$J329)))</f>
      </c>
      <c r="J329" t="str">
        <f>IFERROR(MATCH(321,'Прайс и заказ'!$N$7:$N$781,0)+6,0)</f>
      </c>
    </row>
    <row r="330" spans="1:11" customHeight="1" ht="40">
      <c r="A330" s="13" t="str">
        <f>IF($J330=0,"",IFERROR(_xlfn.IMAGE(INDEX('Прайс и заказ'!$O:$O,$J330)),""))</f>
      </c>
      <c r="B330" s="61" t="str">
        <f>IF($J330=0,"",IF(INDEX('Прайс и заказ'!B:B,$J330)="","",INDEX('Прайс и заказ'!B:B,$J330)))</f>
      </c>
      <c r="C330" s="64" t="str">
        <f>IF($J330=0,"",IF(INDEX('Прайс и заказ'!C:C,$J330)="","",INDEX('Прайс и заказ'!C:C,$J330)))</f>
      </c>
      <c r="D330" s="64" t="str">
        <f>IF($J330=0,"",IF(INDEX('Прайс и заказ'!D:D,$J330)="","",INDEX('Прайс и заказ'!D:D,$J330)))</f>
      </c>
      <c r="E330" s="61" t="str">
        <f>IF($J330=0,"",IF(INDEX('Прайс и заказ'!F:F,$J330)="","",INDEX('Прайс и заказ'!F:F,$J330)))</f>
      </c>
      <c r="F330" s="62" t="str">
        <f>IF($J330=0,"",IF(INDEX('Прайс и заказ'!I:I,$J330)="","",INDEX('Прайс и заказ'!I:I,$J330)))</f>
      </c>
      <c r="G330" s="63" t="str">
        <f>IF($J330=0,"",IF(INDEX('Прайс и заказ'!K:K,$J330)="","",INDEX('Прайс и заказ'!K:K,$J330)))</f>
      </c>
      <c r="H330" s="62" t="str">
        <f>IF($J330=0,"",IF(INDEX('Прайс и заказ'!L:L,$J330)="","",INDEX('Прайс и заказ'!L:L,$J330)))</f>
      </c>
      <c r="I330" s="13" t="str">
        <f>IF($J330=0,"",IF(INDEX('Прайс и заказ'!M:M,$J330)="","",INDEX('Прайс и заказ'!M:M,$J330)))</f>
      </c>
      <c r="J330" t="str">
        <f>IFERROR(MATCH(322,'Прайс и заказ'!$N$7:$N$781,0)+6,0)</f>
      </c>
    </row>
    <row r="331" spans="1:11" customHeight="1" ht="40">
      <c r="A331" s="13" t="str">
        <f>IF($J331=0,"",IFERROR(_xlfn.IMAGE(INDEX('Прайс и заказ'!$O:$O,$J331)),""))</f>
      </c>
      <c r="B331" s="61" t="str">
        <f>IF($J331=0,"",IF(INDEX('Прайс и заказ'!B:B,$J331)="","",INDEX('Прайс и заказ'!B:B,$J331)))</f>
      </c>
      <c r="C331" s="64" t="str">
        <f>IF($J331=0,"",IF(INDEX('Прайс и заказ'!C:C,$J331)="","",INDEX('Прайс и заказ'!C:C,$J331)))</f>
      </c>
      <c r="D331" s="64" t="str">
        <f>IF($J331=0,"",IF(INDEX('Прайс и заказ'!D:D,$J331)="","",INDEX('Прайс и заказ'!D:D,$J331)))</f>
      </c>
      <c r="E331" s="61" t="str">
        <f>IF($J331=0,"",IF(INDEX('Прайс и заказ'!F:F,$J331)="","",INDEX('Прайс и заказ'!F:F,$J331)))</f>
      </c>
      <c r="F331" s="62" t="str">
        <f>IF($J331=0,"",IF(INDEX('Прайс и заказ'!I:I,$J331)="","",INDEX('Прайс и заказ'!I:I,$J331)))</f>
      </c>
      <c r="G331" s="63" t="str">
        <f>IF($J331=0,"",IF(INDEX('Прайс и заказ'!K:K,$J331)="","",INDEX('Прайс и заказ'!K:K,$J331)))</f>
      </c>
      <c r="H331" s="62" t="str">
        <f>IF($J331=0,"",IF(INDEX('Прайс и заказ'!L:L,$J331)="","",INDEX('Прайс и заказ'!L:L,$J331)))</f>
      </c>
      <c r="I331" s="13" t="str">
        <f>IF($J331=0,"",IF(INDEX('Прайс и заказ'!M:M,$J331)="","",INDEX('Прайс и заказ'!M:M,$J331)))</f>
      </c>
      <c r="J331" t="str">
        <f>IFERROR(MATCH(323,'Прайс и заказ'!$N$7:$N$781,0)+6,0)</f>
      </c>
    </row>
    <row r="332" spans="1:11" customHeight="1" ht="40">
      <c r="A332" s="13" t="str">
        <f>IF($J332=0,"",IFERROR(_xlfn.IMAGE(INDEX('Прайс и заказ'!$O:$O,$J332)),""))</f>
      </c>
      <c r="B332" s="61" t="str">
        <f>IF($J332=0,"",IF(INDEX('Прайс и заказ'!B:B,$J332)="","",INDEX('Прайс и заказ'!B:B,$J332)))</f>
      </c>
      <c r="C332" s="64" t="str">
        <f>IF($J332=0,"",IF(INDEX('Прайс и заказ'!C:C,$J332)="","",INDEX('Прайс и заказ'!C:C,$J332)))</f>
      </c>
      <c r="D332" s="64" t="str">
        <f>IF($J332=0,"",IF(INDEX('Прайс и заказ'!D:D,$J332)="","",INDEX('Прайс и заказ'!D:D,$J332)))</f>
      </c>
      <c r="E332" s="61" t="str">
        <f>IF($J332=0,"",IF(INDEX('Прайс и заказ'!F:F,$J332)="","",INDEX('Прайс и заказ'!F:F,$J332)))</f>
      </c>
      <c r="F332" s="62" t="str">
        <f>IF($J332=0,"",IF(INDEX('Прайс и заказ'!I:I,$J332)="","",INDEX('Прайс и заказ'!I:I,$J332)))</f>
      </c>
      <c r="G332" s="63" t="str">
        <f>IF($J332=0,"",IF(INDEX('Прайс и заказ'!K:K,$J332)="","",INDEX('Прайс и заказ'!K:K,$J332)))</f>
      </c>
      <c r="H332" s="62" t="str">
        <f>IF($J332=0,"",IF(INDEX('Прайс и заказ'!L:L,$J332)="","",INDEX('Прайс и заказ'!L:L,$J332)))</f>
      </c>
      <c r="I332" s="13" t="str">
        <f>IF($J332=0,"",IF(INDEX('Прайс и заказ'!M:M,$J332)="","",INDEX('Прайс и заказ'!M:M,$J332)))</f>
      </c>
      <c r="J332" t="str">
        <f>IFERROR(MATCH(324,'Прайс и заказ'!$N$7:$N$781,0)+6,0)</f>
      </c>
    </row>
    <row r="333" spans="1:11" customHeight="1" ht="40">
      <c r="A333" s="13" t="str">
        <f>IF($J333=0,"",IFERROR(_xlfn.IMAGE(INDEX('Прайс и заказ'!$O:$O,$J333)),""))</f>
      </c>
      <c r="B333" s="61" t="str">
        <f>IF($J333=0,"",IF(INDEX('Прайс и заказ'!B:B,$J333)="","",INDEX('Прайс и заказ'!B:B,$J333)))</f>
      </c>
      <c r="C333" s="64" t="str">
        <f>IF($J333=0,"",IF(INDEX('Прайс и заказ'!C:C,$J333)="","",INDEX('Прайс и заказ'!C:C,$J333)))</f>
      </c>
      <c r="D333" s="64" t="str">
        <f>IF($J333=0,"",IF(INDEX('Прайс и заказ'!D:D,$J333)="","",INDEX('Прайс и заказ'!D:D,$J333)))</f>
      </c>
      <c r="E333" s="61" t="str">
        <f>IF($J333=0,"",IF(INDEX('Прайс и заказ'!F:F,$J333)="","",INDEX('Прайс и заказ'!F:F,$J333)))</f>
      </c>
      <c r="F333" s="62" t="str">
        <f>IF($J333=0,"",IF(INDEX('Прайс и заказ'!I:I,$J333)="","",INDEX('Прайс и заказ'!I:I,$J333)))</f>
      </c>
      <c r="G333" s="63" t="str">
        <f>IF($J333=0,"",IF(INDEX('Прайс и заказ'!K:K,$J333)="","",INDEX('Прайс и заказ'!K:K,$J333)))</f>
      </c>
      <c r="H333" s="62" t="str">
        <f>IF($J333=0,"",IF(INDEX('Прайс и заказ'!L:L,$J333)="","",INDEX('Прайс и заказ'!L:L,$J333)))</f>
      </c>
      <c r="I333" s="13" t="str">
        <f>IF($J333=0,"",IF(INDEX('Прайс и заказ'!M:M,$J333)="","",INDEX('Прайс и заказ'!M:M,$J333)))</f>
      </c>
      <c r="J333" t="str">
        <f>IFERROR(MATCH(325,'Прайс и заказ'!$N$7:$N$781,0)+6,0)</f>
      </c>
    </row>
    <row r="334" spans="1:11" customHeight="1" ht="40">
      <c r="A334" s="13" t="str">
        <f>IF($J334=0,"",IFERROR(_xlfn.IMAGE(INDEX('Прайс и заказ'!$O:$O,$J334)),""))</f>
      </c>
      <c r="B334" s="61" t="str">
        <f>IF($J334=0,"",IF(INDEX('Прайс и заказ'!B:B,$J334)="","",INDEX('Прайс и заказ'!B:B,$J334)))</f>
      </c>
      <c r="C334" s="64" t="str">
        <f>IF($J334=0,"",IF(INDEX('Прайс и заказ'!C:C,$J334)="","",INDEX('Прайс и заказ'!C:C,$J334)))</f>
      </c>
      <c r="D334" s="64" t="str">
        <f>IF($J334=0,"",IF(INDEX('Прайс и заказ'!D:D,$J334)="","",INDEX('Прайс и заказ'!D:D,$J334)))</f>
      </c>
      <c r="E334" s="61" t="str">
        <f>IF($J334=0,"",IF(INDEX('Прайс и заказ'!F:F,$J334)="","",INDEX('Прайс и заказ'!F:F,$J334)))</f>
      </c>
      <c r="F334" s="62" t="str">
        <f>IF($J334=0,"",IF(INDEX('Прайс и заказ'!I:I,$J334)="","",INDEX('Прайс и заказ'!I:I,$J334)))</f>
      </c>
      <c r="G334" s="63" t="str">
        <f>IF($J334=0,"",IF(INDEX('Прайс и заказ'!K:K,$J334)="","",INDEX('Прайс и заказ'!K:K,$J334)))</f>
      </c>
      <c r="H334" s="62" t="str">
        <f>IF($J334=0,"",IF(INDEX('Прайс и заказ'!L:L,$J334)="","",INDEX('Прайс и заказ'!L:L,$J334)))</f>
      </c>
      <c r="I334" s="13" t="str">
        <f>IF($J334=0,"",IF(INDEX('Прайс и заказ'!M:M,$J334)="","",INDEX('Прайс и заказ'!M:M,$J334)))</f>
      </c>
      <c r="J334" t="str">
        <f>IFERROR(MATCH(326,'Прайс и заказ'!$N$7:$N$781,0)+6,0)</f>
      </c>
    </row>
    <row r="335" spans="1:11" customHeight="1" ht="40">
      <c r="A335" s="13" t="str">
        <f>IF($J335=0,"",IFERROR(_xlfn.IMAGE(INDEX('Прайс и заказ'!$O:$O,$J335)),""))</f>
      </c>
      <c r="B335" s="61" t="str">
        <f>IF($J335=0,"",IF(INDEX('Прайс и заказ'!B:B,$J335)="","",INDEX('Прайс и заказ'!B:B,$J335)))</f>
      </c>
      <c r="C335" s="64" t="str">
        <f>IF($J335=0,"",IF(INDEX('Прайс и заказ'!C:C,$J335)="","",INDEX('Прайс и заказ'!C:C,$J335)))</f>
      </c>
      <c r="D335" s="64" t="str">
        <f>IF($J335=0,"",IF(INDEX('Прайс и заказ'!D:D,$J335)="","",INDEX('Прайс и заказ'!D:D,$J335)))</f>
      </c>
      <c r="E335" s="61" t="str">
        <f>IF($J335=0,"",IF(INDEX('Прайс и заказ'!F:F,$J335)="","",INDEX('Прайс и заказ'!F:F,$J335)))</f>
      </c>
      <c r="F335" s="62" t="str">
        <f>IF($J335=0,"",IF(INDEX('Прайс и заказ'!I:I,$J335)="","",INDEX('Прайс и заказ'!I:I,$J335)))</f>
      </c>
      <c r="G335" s="63" t="str">
        <f>IF($J335=0,"",IF(INDEX('Прайс и заказ'!K:K,$J335)="","",INDEX('Прайс и заказ'!K:K,$J335)))</f>
      </c>
      <c r="H335" s="62" t="str">
        <f>IF($J335=0,"",IF(INDEX('Прайс и заказ'!L:L,$J335)="","",INDEX('Прайс и заказ'!L:L,$J335)))</f>
      </c>
      <c r="I335" s="13" t="str">
        <f>IF($J335=0,"",IF(INDEX('Прайс и заказ'!M:M,$J335)="","",INDEX('Прайс и заказ'!M:M,$J335)))</f>
      </c>
      <c r="J335" t="str">
        <f>IFERROR(MATCH(327,'Прайс и заказ'!$N$7:$N$781,0)+6,0)</f>
      </c>
    </row>
    <row r="336" spans="1:11" customHeight="1" ht="40">
      <c r="A336" s="13" t="str">
        <f>IF($J336=0,"",IFERROR(_xlfn.IMAGE(INDEX('Прайс и заказ'!$O:$O,$J336)),""))</f>
      </c>
      <c r="B336" s="61" t="str">
        <f>IF($J336=0,"",IF(INDEX('Прайс и заказ'!B:B,$J336)="","",INDEX('Прайс и заказ'!B:B,$J336)))</f>
      </c>
      <c r="C336" s="64" t="str">
        <f>IF($J336=0,"",IF(INDEX('Прайс и заказ'!C:C,$J336)="","",INDEX('Прайс и заказ'!C:C,$J336)))</f>
      </c>
      <c r="D336" s="64" t="str">
        <f>IF($J336=0,"",IF(INDEX('Прайс и заказ'!D:D,$J336)="","",INDEX('Прайс и заказ'!D:D,$J336)))</f>
      </c>
      <c r="E336" s="61" t="str">
        <f>IF($J336=0,"",IF(INDEX('Прайс и заказ'!F:F,$J336)="","",INDEX('Прайс и заказ'!F:F,$J336)))</f>
      </c>
      <c r="F336" s="62" t="str">
        <f>IF($J336=0,"",IF(INDEX('Прайс и заказ'!I:I,$J336)="","",INDEX('Прайс и заказ'!I:I,$J336)))</f>
      </c>
      <c r="G336" s="63" t="str">
        <f>IF($J336=0,"",IF(INDEX('Прайс и заказ'!K:K,$J336)="","",INDEX('Прайс и заказ'!K:K,$J336)))</f>
      </c>
      <c r="H336" s="62" t="str">
        <f>IF($J336=0,"",IF(INDEX('Прайс и заказ'!L:L,$J336)="","",INDEX('Прайс и заказ'!L:L,$J336)))</f>
      </c>
      <c r="I336" s="13" t="str">
        <f>IF($J336=0,"",IF(INDEX('Прайс и заказ'!M:M,$J336)="","",INDEX('Прайс и заказ'!M:M,$J336)))</f>
      </c>
      <c r="J336" t="str">
        <f>IFERROR(MATCH(328,'Прайс и заказ'!$N$7:$N$781,0)+6,0)</f>
      </c>
    </row>
    <row r="337" spans="1:11" customHeight="1" ht="40">
      <c r="A337" s="13" t="str">
        <f>IF($J337=0,"",IFERROR(_xlfn.IMAGE(INDEX('Прайс и заказ'!$O:$O,$J337)),""))</f>
      </c>
      <c r="B337" s="61" t="str">
        <f>IF($J337=0,"",IF(INDEX('Прайс и заказ'!B:B,$J337)="","",INDEX('Прайс и заказ'!B:B,$J337)))</f>
      </c>
      <c r="C337" s="64" t="str">
        <f>IF($J337=0,"",IF(INDEX('Прайс и заказ'!C:C,$J337)="","",INDEX('Прайс и заказ'!C:C,$J337)))</f>
      </c>
      <c r="D337" s="64" t="str">
        <f>IF($J337=0,"",IF(INDEX('Прайс и заказ'!D:D,$J337)="","",INDEX('Прайс и заказ'!D:D,$J337)))</f>
      </c>
      <c r="E337" s="61" t="str">
        <f>IF($J337=0,"",IF(INDEX('Прайс и заказ'!F:F,$J337)="","",INDEX('Прайс и заказ'!F:F,$J337)))</f>
      </c>
      <c r="F337" s="62" t="str">
        <f>IF($J337=0,"",IF(INDEX('Прайс и заказ'!I:I,$J337)="","",INDEX('Прайс и заказ'!I:I,$J337)))</f>
      </c>
      <c r="G337" s="63" t="str">
        <f>IF($J337=0,"",IF(INDEX('Прайс и заказ'!K:K,$J337)="","",INDEX('Прайс и заказ'!K:K,$J337)))</f>
      </c>
      <c r="H337" s="62" t="str">
        <f>IF($J337=0,"",IF(INDEX('Прайс и заказ'!L:L,$J337)="","",INDEX('Прайс и заказ'!L:L,$J337)))</f>
      </c>
      <c r="I337" s="13" t="str">
        <f>IF($J337=0,"",IF(INDEX('Прайс и заказ'!M:M,$J337)="","",INDEX('Прайс и заказ'!M:M,$J337)))</f>
      </c>
      <c r="J337" t="str">
        <f>IFERROR(MATCH(329,'Прайс и заказ'!$N$7:$N$781,0)+6,0)</f>
      </c>
    </row>
    <row r="338" spans="1:11" customHeight="1" ht="40">
      <c r="A338" s="13" t="str">
        <f>IF($J338=0,"",IFERROR(_xlfn.IMAGE(INDEX('Прайс и заказ'!$O:$O,$J338)),""))</f>
      </c>
      <c r="B338" s="61" t="str">
        <f>IF($J338=0,"",IF(INDEX('Прайс и заказ'!B:B,$J338)="","",INDEX('Прайс и заказ'!B:B,$J338)))</f>
      </c>
      <c r="C338" s="64" t="str">
        <f>IF($J338=0,"",IF(INDEX('Прайс и заказ'!C:C,$J338)="","",INDEX('Прайс и заказ'!C:C,$J338)))</f>
      </c>
      <c r="D338" s="64" t="str">
        <f>IF($J338=0,"",IF(INDEX('Прайс и заказ'!D:D,$J338)="","",INDEX('Прайс и заказ'!D:D,$J338)))</f>
      </c>
      <c r="E338" s="61" t="str">
        <f>IF($J338=0,"",IF(INDEX('Прайс и заказ'!F:F,$J338)="","",INDEX('Прайс и заказ'!F:F,$J338)))</f>
      </c>
      <c r="F338" s="62" t="str">
        <f>IF($J338=0,"",IF(INDEX('Прайс и заказ'!I:I,$J338)="","",INDEX('Прайс и заказ'!I:I,$J338)))</f>
      </c>
      <c r="G338" s="63" t="str">
        <f>IF($J338=0,"",IF(INDEX('Прайс и заказ'!K:K,$J338)="","",INDEX('Прайс и заказ'!K:K,$J338)))</f>
      </c>
      <c r="H338" s="62" t="str">
        <f>IF($J338=0,"",IF(INDEX('Прайс и заказ'!L:L,$J338)="","",INDEX('Прайс и заказ'!L:L,$J338)))</f>
      </c>
      <c r="I338" s="13" t="str">
        <f>IF($J338=0,"",IF(INDEX('Прайс и заказ'!M:M,$J338)="","",INDEX('Прайс и заказ'!M:M,$J338)))</f>
      </c>
      <c r="J338" t="str">
        <f>IFERROR(MATCH(330,'Прайс и заказ'!$N$7:$N$781,0)+6,0)</f>
      </c>
    </row>
    <row r="339" spans="1:11" customHeight="1" ht="40">
      <c r="A339" s="13" t="str">
        <f>IF($J339=0,"",IFERROR(_xlfn.IMAGE(INDEX('Прайс и заказ'!$O:$O,$J339)),""))</f>
      </c>
      <c r="B339" s="61" t="str">
        <f>IF($J339=0,"",IF(INDEX('Прайс и заказ'!B:B,$J339)="","",INDEX('Прайс и заказ'!B:B,$J339)))</f>
      </c>
      <c r="C339" s="64" t="str">
        <f>IF($J339=0,"",IF(INDEX('Прайс и заказ'!C:C,$J339)="","",INDEX('Прайс и заказ'!C:C,$J339)))</f>
      </c>
      <c r="D339" s="64" t="str">
        <f>IF($J339=0,"",IF(INDEX('Прайс и заказ'!D:D,$J339)="","",INDEX('Прайс и заказ'!D:D,$J339)))</f>
      </c>
      <c r="E339" s="61" t="str">
        <f>IF($J339=0,"",IF(INDEX('Прайс и заказ'!F:F,$J339)="","",INDEX('Прайс и заказ'!F:F,$J339)))</f>
      </c>
      <c r="F339" s="62" t="str">
        <f>IF($J339=0,"",IF(INDEX('Прайс и заказ'!I:I,$J339)="","",INDEX('Прайс и заказ'!I:I,$J339)))</f>
      </c>
      <c r="G339" s="63" t="str">
        <f>IF($J339=0,"",IF(INDEX('Прайс и заказ'!K:K,$J339)="","",INDEX('Прайс и заказ'!K:K,$J339)))</f>
      </c>
      <c r="H339" s="62" t="str">
        <f>IF($J339=0,"",IF(INDEX('Прайс и заказ'!L:L,$J339)="","",INDEX('Прайс и заказ'!L:L,$J339)))</f>
      </c>
      <c r="I339" s="13" t="str">
        <f>IF($J339=0,"",IF(INDEX('Прайс и заказ'!M:M,$J339)="","",INDEX('Прайс и заказ'!M:M,$J339)))</f>
      </c>
      <c r="J339" t="str">
        <f>IFERROR(MATCH(331,'Прайс и заказ'!$N$7:$N$781,0)+6,0)</f>
      </c>
    </row>
    <row r="340" spans="1:11" customHeight="1" ht="40">
      <c r="A340" s="13" t="str">
        <f>IF($J340=0,"",IFERROR(_xlfn.IMAGE(INDEX('Прайс и заказ'!$O:$O,$J340)),""))</f>
      </c>
      <c r="B340" s="61" t="str">
        <f>IF($J340=0,"",IF(INDEX('Прайс и заказ'!B:B,$J340)="","",INDEX('Прайс и заказ'!B:B,$J340)))</f>
      </c>
      <c r="C340" s="64" t="str">
        <f>IF($J340=0,"",IF(INDEX('Прайс и заказ'!C:C,$J340)="","",INDEX('Прайс и заказ'!C:C,$J340)))</f>
      </c>
      <c r="D340" s="64" t="str">
        <f>IF($J340=0,"",IF(INDEX('Прайс и заказ'!D:D,$J340)="","",INDEX('Прайс и заказ'!D:D,$J340)))</f>
      </c>
      <c r="E340" s="61" t="str">
        <f>IF($J340=0,"",IF(INDEX('Прайс и заказ'!F:F,$J340)="","",INDEX('Прайс и заказ'!F:F,$J340)))</f>
      </c>
      <c r="F340" s="62" t="str">
        <f>IF($J340=0,"",IF(INDEX('Прайс и заказ'!I:I,$J340)="","",INDEX('Прайс и заказ'!I:I,$J340)))</f>
      </c>
      <c r="G340" s="63" t="str">
        <f>IF($J340=0,"",IF(INDEX('Прайс и заказ'!K:K,$J340)="","",INDEX('Прайс и заказ'!K:K,$J340)))</f>
      </c>
      <c r="H340" s="62" t="str">
        <f>IF($J340=0,"",IF(INDEX('Прайс и заказ'!L:L,$J340)="","",INDEX('Прайс и заказ'!L:L,$J340)))</f>
      </c>
      <c r="I340" s="13" t="str">
        <f>IF($J340=0,"",IF(INDEX('Прайс и заказ'!M:M,$J340)="","",INDEX('Прайс и заказ'!M:M,$J340)))</f>
      </c>
      <c r="J340" t="str">
        <f>IFERROR(MATCH(332,'Прайс и заказ'!$N$7:$N$781,0)+6,0)</f>
      </c>
    </row>
    <row r="341" spans="1:11" customHeight="1" ht="40">
      <c r="A341" s="13" t="str">
        <f>IF($J341=0,"",IFERROR(_xlfn.IMAGE(INDEX('Прайс и заказ'!$O:$O,$J341)),""))</f>
      </c>
      <c r="B341" s="61" t="str">
        <f>IF($J341=0,"",IF(INDEX('Прайс и заказ'!B:B,$J341)="","",INDEX('Прайс и заказ'!B:B,$J341)))</f>
      </c>
      <c r="C341" s="64" t="str">
        <f>IF($J341=0,"",IF(INDEX('Прайс и заказ'!C:C,$J341)="","",INDEX('Прайс и заказ'!C:C,$J341)))</f>
      </c>
      <c r="D341" s="64" t="str">
        <f>IF($J341=0,"",IF(INDEX('Прайс и заказ'!D:D,$J341)="","",INDEX('Прайс и заказ'!D:D,$J341)))</f>
      </c>
      <c r="E341" s="61" t="str">
        <f>IF($J341=0,"",IF(INDEX('Прайс и заказ'!F:F,$J341)="","",INDEX('Прайс и заказ'!F:F,$J341)))</f>
      </c>
      <c r="F341" s="62" t="str">
        <f>IF($J341=0,"",IF(INDEX('Прайс и заказ'!I:I,$J341)="","",INDEX('Прайс и заказ'!I:I,$J341)))</f>
      </c>
      <c r="G341" s="63" t="str">
        <f>IF($J341=0,"",IF(INDEX('Прайс и заказ'!K:K,$J341)="","",INDEX('Прайс и заказ'!K:K,$J341)))</f>
      </c>
      <c r="H341" s="62" t="str">
        <f>IF($J341=0,"",IF(INDEX('Прайс и заказ'!L:L,$J341)="","",INDEX('Прайс и заказ'!L:L,$J341)))</f>
      </c>
      <c r="I341" s="13" t="str">
        <f>IF($J341=0,"",IF(INDEX('Прайс и заказ'!M:M,$J341)="","",INDEX('Прайс и заказ'!M:M,$J341)))</f>
      </c>
      <c r="J341" t="str">
        <f>IFERROR(MATCH(333,'Прайс и заказ'!$N$7:$N$781,0)+6,0)</f>
      </c>
    </row>
    <row r="342" spans="1:11" customHeight="1" ht="40">
      <c r="A342" s="13" t="str">
        <f>IF($J342=0,"",IFERROR(_xlfn.IMAGE(INDEX('Прайс и заказ'!$O:$O,$J342)),""))</f>
      </c>
      <c r="B342" s="61" t="str">
        <f>IF($J342=0,"",IF(INDEX('Прайс и заказ'!B:B,$J342)="","",INDEX('Прайс и заказ'!B:B,$J342)))</f>
      </c>
      <c r="C342" s="64" t="str">
        <f>IF($J342=0,"",IF(INDEX('Прайс и заказ'!C:C,$J342)="","",INDEX('Прайс и заказ'!C:C,$J342)))</f>
      </c>
      <c r="D342" s="64" t="str">
        <f>IF($J342=0,"",IF(INDEX('Прайс и заказ'!D:D,$J342)="","",INDEX('Прайс и заказ'!D:D,$J342)))</f>
      </c>
      <c r="E342" s="61" t="str">
        <f>IF($J342=0,"",IF(INDEX('Прайс и заказ'!F:F,$J342)="","",INDEX('Прайс и заказ'!F:F,$J342)))</f>
      </c>
      <c r="F342" s="62" t="str">
        <f>IF($J342=0,"",IF(INDEX('Прайс и заказ'!I:I,$J342)="","",INDEX('Прайс и заказ'!I:I,$J342)))</f>
      </c>
      <c r="G342" s="63" t="str">
        <f>IF($J342=0,"",IF(INDEX('Прайс и заказ'!K:K,$J342)="","",INDEX('Прайс и заказ'!K:K,$J342)))</f>
      </c>
      <c r="H342" s="62" t="str">
        <f>IF($J342=0,"",IF(INDEX('Прайс и заказ'!L:L,$J342)="","",INDEX('Прайс и заказ'!L:L,$J342)))</f>
      </c>
      <c r="I342" s="13" t="str">
        <f>IF($J342=0,"",IF(INDEX('Прайс и заказ'!M:M,$J342)="","",INDEX('Прайс и заказ'!M:M,$J342)))</f>
      </c>
      <c r="J342" t="str">
        <f>IFERROR(MATCH(334,'Прайс и заказ'!$N$7:$N$781,0)+6,0)</f>
      </c>
    </row>
    <row r="343" spans="1:11" customHeight="1" ht="40">
      <c r="A343" s="13" t="str">
        <f>IF($J343=0,"",IFERROR(_xlfn.IMAGE(INDEX('Прайс и заказ'!$O:$O,$J343)),""))</f>
      </c>
      <c r="B343" s="61" t="str">
        <f>IF($J343=0,"",IF(INDEX('Прайс и заказ'!B:B,$J343)="","",INDEX('Прайс и заказ'!B:B,$J343)))</f>
      </c>
      <c r="C343" s="64" t="str">
        <f>IF($J343=0,"",IF(INDEX('Прайс и заказ'!C:C,$J343)="","",INDEX('Прайс и заказ'!C:C,$J343)))</f>
      </c>
      <c r="D343" s="64" t="str">
        <f>IF($J343=0,"",IF(INDEX('Прайс и заказ'!D:D,$J343)="","",INDEX('Прайс и заказ'!D:D,$J343)))</f>
      </c>
      <c r="E343" s="61" t="str">
        <f>IF($J343=0,"",IF(INDEX('Прайс и заказ'!F:F,$J343)="","",INDEX('Прайс и заказ'!F:F,$J343)))</f>
      </c>
      <c r="F343" s="62" t="str">
        <f>IF($J343=0,"",IF(INDEX('Прайс и заказ'!I:I,$J343)="","",INDEX('Прайс и заказ'!I:I,$J343)))</f>
      </c>
      <c r="G343" s="63" t="str">
        <f>IF($J343=0,"",IF(INDEX('Прайс и заказ'!K:K,$J343)="","",INDEX('Прайс и заказ'!K:K,$J343)))</f>
      </c>
      <c r="H343" s="62" t="str">
        <f>IF($J343=0,"",IF(INDEX('Прайс и заказ'!L:L,$J343)="","",INDEX('Прайс и заказ'!L:L,$J343)))</f>
      </c>
      <c r="I343" s="13" t="str">
        <f>IF($J343=0,"",IF(INDEX('Прайс и заказ'!M:M,$J343)="","",INDEX('Прайс и заказ'!M:M,$J343)))</f>
      </c>
      <c r="J343" t="str">
        <f>IFERROR(MATCH(335,'Прайс и заказ'!$N$7:$N$781,0)+6,0)</f>
      </c>
    </row>
    <row r="344" spans="1:11" customHeight="1" ht="40">
      <c r="A344" s="13" t="str">
        <f>IF($J344=0,"",IFERROR(_xlfn.IMAGE(INDEX('Прайс и заказ'!$O:$O,$J344)),""))</f>
      </c>
      <c r="B344" s="61" t="str">
        <f>IF($J344=0,"",IF(INDEX('Прайс и заказ'!B:B,$J344)="","",INDEX('Прайс и заказ'!B:B,$J344)))</f>
      </c>
      <c r="C344" s="64" t="str">
        <f>IF($J344=0,"",IF(INDEX('Прайс и заказ'!C:C,$J344)="","",INDEX('Прайс и заказ'!C:C,$J344)))</f>
      </c>
      <c r="D344" s="64" t="str">
        <f>IF($J344=0,"",IF(INDEX('Прайс и заказ'!D:D,$J344)="","",INDEX('Прайс и заказ'!D:D,$J344)))</f>
      </c>
      <c r="E344" s="61" t="str">
        <f>IF($J344=0,"",IF(INDEX('Прайс и заказ'!F:F,$J344)="","",INDEX('Прайс и заказ'!F:F,$J344)))</f>
      </c>
      <c r="F344" s="62" t="str">
        <f>IF($J344=0,"",IF(INDEX('Прайс и заказ'!I:I,$J344)="","",INDEX('Прайс и заказ'!I:I,$J344)))</f>
      </c>
      <c r="G344" s="63" t="str">
        <f>IF($J344=0,"",IF(INDEX('Прайс и заказ'!K:K,$J344)="","",INDEX('Прайс и заказ'!K:K,$J344)))</f>
      </c>
      <c r="H344" s="62" t="str">
        <f>IF($J344=0,"",IF(INDEX('Прайс и заказ'!L:L,$J344)="","",INDEX('Прайс и заказ'!L:L,$J344)))</f>
      </c>
      <c r="I344" s="13" t="str">
        <f>IF($J344=0,"",IF(INDEX('Прайс и заказ'!M:M,$J344)="","",INDEX('Прайс и заказ'!M:M,$J344)))</f>
      </c>
      <c r="J344" t="str">
        <f>IFERROR(MATCH(336,'Прайс и заказ'!$N$7:$N$781,0)+6,0)</f>
      </c>
    </row>
    <row r="345" spans="1:11" customHeight="1" ht="40">
      <c r="A345" s="13" t="str">
        <f>IF($J345=0,"",IFERROR(_xlfn.IMAGE(INDEX('Прайс и заказ'!$O:$O,$J345)),""))</f>
      </c>
      <c r="B345" s="61" t="str">
        <f>IF($J345=0,"",IF(INDEX('Прайс и заказ'!B:B,$J345)="","",INDEX('Прайс и заказ'!B:B,$J345)))</f>
      </c>
      <c r="C345" s="64" t="str">
        <f>IF($J345=0,"",IF(INDEX('Прайс и заказ'!C:C,$J345)="","",INDEX('Прайс и заказ'!C:C,$J345)))</f>
      </c>
      <c r="D345" s="64" t="str">
        <f>IF($J345=0,"",IF(INDEX('Прайс и заказ'!D:D,$J345)="","",INDEX('Прайс и заказ'!D:D,$J345)))</f>
      </c>
      <c r="E345" s="61" t="str">
        <f>IF($J345=0,"",IF(INDEX('Прайс и заказ'!F:F,$J345)="","",INDEX('Прайс и заказ'!F:F,$J345)))</f>
      </c>
      <c r="F345" s="62" t="str">
        <f>IF($J345=0,"",IF(INDEX('Прайс и заказ'!I:I,$J345)="","",INDEX('Прайс и заказ'!I:I,$J345)))</f>
      </c>
      <c r="G345" s="63" t="str">
        <f>IF($J345=0,"",IF(INDEX('Прайс и заказ'!K:K,$J345)="","",INDEX('Прайс и заказ'!K:K,$J345)))</f>
      </c>
      <c r="H345" s="62" t="str">
        <f>IF($J345=0,"",IF(INDEX('Прайс и заказ'!L:L,$J345)="","",INDEX('Прайс и заказ'!L:L,$J345)))</f>
      </c>
      <c r="I345" s="13" t="str">
        <f>IF($J345=0,"",IF(INDEX('Прайс и заказ'!M:M,$J345)="","",INDEX('Прайс и заказ'!M:M,$J345)))</f>
      </c>
      <c r="J345" t="str">
        <f>IFERROR(MATCH(337,'Прайс и заказ'!$N$7:$N$781,0)+6,0)</f>
      </c>
    </row>
    <row r="346" spans="1:11" customHeight="1" ht="40">
      <c r="A346" s="13" t="str">
        <f>IF($J346=0,"",IFERROR(_xlfn.IMAGE(INDEX('Прайс и заказ'!$O:$O,$J346)),""))</f>
      </c>
      <c r="B346" s="61" t="str">
        <f>IF($J346=0,"",IF(INDEX('Прайс и заказ'!B:B,$J346)="","",INDEX('Прайс и заказ'!B:B,$J346)))</f>
      </c>
      <c r="C346" s="64" t="str">
        <f>IF($J346=0,"",IF(INDEX('Прайс и заказ'!C:C,$J346)="","",INDEX('Прайс и заказ'!C:C,$J346)))</f>
      </c>
      <c r="D346" s="64" t="str">
        <f>IF($J346=0,"",IF(INDEX('Прайс и заказ'!D:D,$J346)="","",INDEX('Прайс и заказ'!D:D,$J346)))</f>
      </c>
      <c r="E346" s="61" t="str">
        <f>IF($J346=0,"",IF(INDEX('Прайс и заказ'!F:F,$J346)="","",INDEX('Прайс и заказ'!F:F,$J346)))</f>
      </c>
      <c r="F346" s="62" t="str">
        <f>IF($J346=0,"",IF(INDEX('Прайс и заказ'!I:I,$J346)="","",INDEX('Прайс и заказ'!I:I,$J346)))</f>
      </c>
      <c r="G346" s="63" t="str">
        <f>IF($J346=0,"",IF(INDEX('Прайс и заказ'!K:K,$J346)="","",INDEX('Прайс и заказ'!K:K,$J346)))</f>
      </c>
      <c r="H346" s="62" t="str">
        <f>IF($J346=0,"",IF(INDEX('Прайс и заказ'!L:L,$J346)="","",INDEX('Прайс и заказ'!L:L,$J346)))</f>
      </c>
      <c r="I346" s="13" t="str">
        <f>IF($J346=0,"",IF(INDEX('Прайс и заказ'!M:M,$J346)="","",INDEX('Прайс и заказ'!M:M,$J346)))</f>
      </c>
      <c r="J346" t="str">
        <f>IFERROR(MATCH(338,'Прайс и заказ'!$N$7:$N$781,0)+6,0)</f>
      </c>
    </row>
    <row r="347" spans="1:11" customHeight="1" ht="40">
      <c r="A347" s="13" t="str">
        <f>IF($J347=0,"",IFERROR(_xlfn.IMAGE(INDEX('Прайс и заказ'!$O:$O,$J347)),""))</f>
      </c>
      <c r="B347" s="61" t="str">
        <f>IF($J347=0,"",IF(INDEX('Прайс и заказ'!B:B,$J347)="","",INDEX('Прайс и заказ'!B:B,$J347)))</f>
      </c>
      <c r="C347" s="64" t="str">
        <f>IF($J347=0,"",IF(INDEX('Прайс и заказ'!C:C,$J347)="","",INDEX('Прайс и заказ'!C:C,$J347)))</f>
      </c>
      <c r="D347" s="64" t="str">
        <f>IF($J347=0,"",IF(INDEX('Прайс и заказ'!D:D,$J347)="","",INDEX('Прайс и заказ'!D:D,$J347)))</f>
      </c>
      <c r="E347" s="61" t="str">
        <f>IF($J347=0,"",IF(INDEX('Прайс и заказ'!F:F,$J347)="","",INDEX('Прайс и заказ'!F:F,$J347)))</f>
      </c>
      <c r="F347" s="62" t="str">
        <f>IF($J347=0,"",IF(INDEX('Прайс и заказ'!I:I,$J347)="","",INDEX('Прайс и заказ'!I:I,$J347)))</f>
      </c>
      <c r="G347" s="63" t="str">
        <f>IF($J347=0,"",IF(INDEX('Прайс и заказ'!K:K,$J347)="","",INDEX('Прайс и заказ'!K:K,$J347)))</f>
      </c>
      <c r="H347" s="62" t="str">
        <f>IF($J347=0,"",IF(INDEX('Прайс и заказ'!L:L,$J347)="","",INDEX('Прайс и заказ'!L:L,$J347)))</f>
      </c>
      <c r="I347" s="13" t="str">
        <f>IF($J347=0,"",IF(INDEX('Прайс и заказ'!M:M,$J347)="","",INDEX('Прайс и заказ'!M:M,$J347)))</f>
      </c>
      <c r="J347" t="str">
        <f>IFERROR(MATCH(339,'Прайс и заказ'!$N$7:$N$781,0)+6,0)</f>
      </c>
    </row>
    <row r="348" spans="1:11" customHeight="1" ht="40">
      <c r="A348" s="13" t="str">
        <f>IF($J348=0,"",IFERROR(_xlfn.IMAGE(INDEX('Прайс и заказ'!$O:$O,$J348)),""))</f>
      </c>
      <c r="B348" s="61" t="str">
        <f>IF($J348=0,"",IF(INDEX('Прайс и заказ'!B:B,$J348)="","",INDEX('Прайс и заказ'!B:B,$J348)))</f>
      </c>
      <c r="C348" s="64" t="str">
        <f>IF($J348=0,"",IF(INDEX('Прайс и заказ'!C:C,$J348)="","",INDEX('Прайс и заказ'!C:C,$J348)))</f>
      </c>
      <c r="D348" s="64" t="str">
        <f>IF($J348=0,"",IF(INDEX('Прайс и заказ'!D:D,$J348)="","",INDEX('Прайс и заказ'!D:D,$J348)))</f>
      </c>
      <c r="E348" s="61" t="str">
        <f>IF($J348=0,"",IF(INDEX('Прайс и заказ'!F:F,$J348)="","",INDEX('Прайс и заказ'!F:F,$J348)))</f>
      </c>
      <c r="F348" s="62" t="str">
        <f>IF($J348=0,"",IF(INDEX('Прайс и заказ'!I:I,$J348)="","",INDEX('Прайс и заказ'!I:I,$J348)))</f>
      </c>
      <c r="G348" s="63" t="str">
        <f>IF($J348=0,"",IF(INDEX('Прайс и заказ'!K:K,$J348)="","",INDEX('Прайс и заказ'!K:K,$J348)))</f>
      </c>
      <c r="H348" s="62" t="str">
        <f>IF($J348=0,"",IF(INDEX('Прайс и заказ'!L:L,$J348)="","",INDEX('Прайс и заказ'!L:L,$J348)))</f>
      </c>
      <c r="I348" s="13" t="str">
        <f>IF($J348=0,"",IF(INDEX('Прайс и заказ'!M:M,$J348)="","",INDEX('Прайс и заказ'!M:M,$J348)))</f>
      </c>
      <c r="J348" t="str">
        <f>IFERROR(MATCH(340,'Прайс и заказ'!$N$7:$N$781,0)+6,0)</f>
      </c>
    </row>
    <row r="349" spans="1:11" customHeight="1" ht="40">
      <c r="A349" s="13" t="str">
        <f>IF($J349=0,"",IFERROR(_xlfn.IMAGE(INDEX('Прайс и заказ'!$O:$O,$J349)),""))</f>
      </c>
      <c r="B349" s="61" t="str">
        <f>IF($J349=0,"",IF(INDEX('Прайс и заказ'!B:B,$J349)="","",INDEX('Прайс и заказ'!B:B,$J349)))</f>
      </c>
      <c r="C349" s="64" t="str">
        <f>IF($J349=0,"",IF(INDEX('Прайс и заказ'!C:C,$J349)="","",INDEX('Прайс и заказ'!C:C,$J349)))</f>
      </c>
      <c r="D349" s="64" t="str">
        <f>IF($J349=0,"",IF(INDEX('Прайс и заказ'!D:D,$J349)="","",INDEX('Прайс и заказ'!D:D,$J349)))</f>
      </c>
      <c r="E349" s="61" t="str">
        <f>IF($J349=0,"",IF(INDEX('Прайс и заказ'!F:F,$J349)="","",INDEX('Прайс и заказ'!F:F,$J349)))</f>
      </c>
      <c r="F349" s="62" t="str">
        <f>IF($J349=0,"",IF(INDEX('Прайс и заказ'!I:I,$J349)="","",INDEX('Прайс и заказ'!I:I,$J349)))</f>
      </c>
      <c r="G349" s="63" t="str">
        <f>IF($J349=0,"",IF(INDEX('Прайс и заказ'!K:K,$J349)="","",INDEX('Прайс и заказ'!K:K,$J349)))</f>
      </c>
      <c r="H349" s="62" t="str">
        <f>IF($J349=0,"",IF(INDEX('Прайс и заказ'!L:L,$J349)="","",INDEX('Прайс и заказ'!L:L,$J349)))</f>
      </c>
      <c r="I349" s="13" t="str">
        <f>IF($J349=0,"",IF(INDEX('Прайс и заказ'!M:M,$J349)="","",INDEX('Прайс и заказ'!M:M,$J349)))</f>
      </c>
      <c r="J349" t="str">
        <f>IFERROR(MATCH(341,'Прайс и заказ'!$N$7:$N$781,0)+6,0)</f>
      </c>
    </row>
    <row r="350" spans="1:11" customHeight="1" ht="40">
      <c r="A350" s="13" t="str">
        <f>IF($J350=0,"",IFERROR(_xlfn.IMAGE(INDEX('Прайс и заказ'!$O:$O,$J350)),""))</f>
      </c>
      <c r="B350" s="61" t="str">
        <f>IF($J350=0,"",IF(INDEX('Прайс и заказ'!B:B,$J350)="","",INDEX('Прайс и заказ'!B:B,$J350)))</f>
      </c>
      <c r="C350" s="64" t="str">
        <f>IF($J350=0,"",IF(INDEX('Прайс и заказ'!C:C,$J350)="","",INDEX('Прайс и заказ'!C:C,$J350)))</f>
      </c>
      <c r="D350" s="64" t="str">
        <f>IF($J350=0,"",IF(INDEX('Прайс и заказ'!D:D,$J350)="","",INDEX('Прайс и заказ'!D:D,$J350)))</f>
      </c>
      <c r="E350" s="61" t="str">
        <f>IF($J350=0,"",IF(INDEX('Прайс и заказ'!F:F,$J350)="","",INDEX('Прайс и заказ'!F:F,$J350)))</f>
      </c>
      <c r="F350" s="62" t="str">
        <f>IF($J350=0,"",IF(INDEX('Прайс и заказ'!I:I,$J350)="","",INDEX('Прайс и заказ'!I:I,$J350)))</f>
      </c>
      <c r="G350" s="63" t="str">
        <f>IF($J350=0,"",IF(INDEX('Прайс и заказ'!K:K,$J350)="","",INDEX('Прайс и заказ'!K:K,$J350)))</f>
      </c>
      <c r="H350" s="62" t="str">
        <f>IF($J350=0,"",IF(INDEX('Прайс и заказ'!L:L,$J350)="","",INDEX('Прайс и заказ'!L:L,$J350)))</f>
      </c>
      <c r="I350" s="13" t="str">
        <f>IF($J350=0,"",IF(INDEX('Прайс и заказ'!M:M,$J350)="","",INDEX('Прайс и заказ'!M:M,$J350)))</f>
      </c>
      <c r="J350" t="str">
        <f>IFERROR(MATCH(342,'Прайс и заказ'!$N$7:$N$781,0)+6,0)</f>
      </c>
    </row>
    <row r="351" spans="1:11" customHeight="1" ht="40">
      <c r="A351" s="13" t="str">
        <f>IF($J351=0,"",IFERROR(_xlfn.IMAGE(INDEX('Прайс и заказ'!$O:$O,$J351)),""))</f>
      </c>
      <c r="B351" s="61" t="str">
        <f>IF($J351=0,"",IF(INDEX('Прайс и заказ'!B:B,$J351)="","",INDEX('Прайс и заказ'!B:B,$J351)))</f>
      </c>
      <c r="C351" s="64" t="str">
        <f>IF($J351=0,"",IF(INDEX('Прайс и заказ'!C:C,$J351)="","",INDEX('Прайс и заказ'!C:C,$J351)))</f>
      </c>
      <c r="D351" s="64" t="str">
        <f>IF($J351=0,"",IF(INDEX('Прайс и заказ'!D:D,$J351)="","",INDEX('Прайс и заказ'!D:D,$J351)))</f>
      </c>
      <c r="E351" s="61" t="str">
        <f>IF($J351=0,"",IF(INDEX('Прайс и заказ'!F:F,$J351)="","",INDEX('Прайс и заказ'!F:F,$J351)))</f>
      </c>
      <c r="F351" s="62" t="str">
        <f>IF($J351=0,"",IF(INDEX('Прайс и заказ'!I:I,$J351)="","",INDEX('Прайс и заказ'!I:I,$J351)))</f>
      </c>
      <c r="G351" s="63" t="str">
        <f>IF($J351=0,"",IF(INDEX('Прайс и заказ'!K:K,$J351)="","",INDEX('Прайс и заказ'!K:K,$J351)))</f>
      </c>
      <c r="H351" s="62" t="str">
        <f>IF($J351=0,"",IF(INDEX('Прайс и заказ'!L:L,$J351)="","",INDEX('Прайс и заказ'!L:L,$J351)))</f>
      </c>
      <c r="I351" s="13" t="str">
        <f>IF($J351=0,"",IF(INDEX('Прайс и заказ'!M:M,$J351)="","",INDEX('Прайс и заказ'!M:M,$J351)))</f>
      </c>
      <c r="J351" t="str">
        <f>IFERROR(MATCH(343,'Прайс и заказ'!$N$7:$N$781,0)+6,0)</f>
      </c>
    </row>
    <row r="352" spans="1:11" customHeight="1" ht="40">
      <c r="A352" s="13" t="str">
        <f>IF($J352=0,"",IFERROR(_xlfn.IMAGE(INDEX('Прайс и заказ'!$O:$O,$J352)),""))</f>
      </c>
      <c r="B352" s="61" t="str">
        <f>IF($J352=0,"",IF(INDEX('Прайс и заказ'!B:B,$J352)="","",INDEX('Прайс и заказ'!B:B,$J352)))</f>
      </c>
      <c r="C352" s="64" t="str">
        <f>IF($J352=0,"",IF(INDEX('Прайс и заказ'!C:C,$J352)="","",INDEX('Прайс и заказ'!C:C,$J352)))</f>
      </c>
      <c r="D352" s="64" t="str">
        <f>IF($J352=0,"",IF(INDEX('Прайс и заказ'!D:D,$J352)="","",INDEX('Прайс и заказ'!D:D,$J352)))</f>
      </c>
      <c r="E352" s="61" t="str">
        <f>IF($J352=0,"",IF(INDEX('Прайс и заказ'!F:F,$J352)="","",INDEX('Прайс и заказ'!F:F,$J352)))</f>
      </c>
      <c r="F352" s="62" t="str">
        <f>IF($J352=0,"",IF(INDEX('Прайс и заказ'!I:I,$J352)="","",INDEX('Прайс и заказ'!I:I,$J352)))</f>
      </c>
      <c r="G352" s="63" t="str">
        <f>IF($J352=0,"",IF(INDEX('Прайс и заказ'!K:K,$J352)="","",INDEX('Прайс и заказ'!K:K,$J352)))</f>
      </c>
      <c r="H352" s="62" t="str">
        <f>IF($J352=0,"",IF(INDEX('Прайс и заказ'!L:L,$J352)="","",INDEX('Прайс и заказ'!L:L,$J352)))</f>
      </c>
      <c r="I352" s="13" t="str">
        <f>IF($J352=0,"",IF(INDEX('Прайс и заказ'!M:M,$J352)="","",INDEX('Прайс и заказ'!M:M,$J352)))</f>
      </c>
      <c r="J352" t="str">
        <f>IFERROR(MATCH(344,'Прайс и заказ'!$N$7:$N$781,0)+6,0)</f>
      </c>
    </row>
    <row r="353" spans="1:11" customHeight="1" ht="40">
      <c r="A353" s="13" t="str">
        <f>IF($J353=0,"",IFERROR(_xlfn.IMAGE(INDEX('Прайс и заказ'!$O:$O,$J353)),""))</f>
      </c>
      <c r="B353" s="61" t="str">
        <f>IF($J353=0,"",IF(INDEX('Прайс и заказ'!B:B,$J353)="","",INDEX('Прайс и заказ'!B:B,$J353)))</f>
      </c>
      <c r="C353" s="64" t="str">
        <f>IF($J353=0,"",IF(INDEX('Прайс и заказ'!C:C,$J353)="","",INDEX('Прайс и заказ'!C:C,$J353)))</f>
      </c>
      <c r="D353" s="64" t="str">
        <f>IF($J353=0,"",IF(INDEX('Прайс и заказ'!D:D,$J353)="","",INDEX('Прайс и заказ'!D:D,$J353)))</f>
      </c>
      <c r="E353" s="61" t="str">
        <f>IF($J353=0,"",IF(INDEX('Прайс и заказ'!F:F,$J353)="","",INDEX('Прайс и заказ'!F:F,$J353)))</f>
      </c>
      <c r="F353" s="62" t="str">
        <f>IF($J353=0,"",IF(INDEX('Прайс и заказ'!I:I,$J353)="","",INDEX('Прайс и заказ'!I:I,$J353)))</f>
      </c>
      <c r="G353" s="63" t="str">
        <f>IF($J353=0,"",IF(INDEX('Прайс и заказ'!K:K,$J353)="","",INDEX('Прайс и заказ'!K:K,$J353)))</f>
      </c>
      <c r="H353" s="62" t="str">
        <f>IF($J353=0,"",IF(INDEX('Прайс и заказ'!L:L,$J353)="","",INDEX('Прайс и заказ'!L:L,$J353)))</f>
      </c>
      <c r="I353" s="13" t="str">
        <f>IF($J353=0,"",IF(INDEX('Прайс и заказ'!M:M,$J353)="","",INDEX('Прайс и заказ'!M:M,$J353)))</f>
      </c>
      <c r="J353" t="str">
        <f>IFERROR(MATCH(345,'Прайс и заказ'!$N$7:$N$781,0)+6,0)</f>
      </c>
    </row>
    <row r="354" spans="1:11" customHeight="1" ht="40">
      <c r="A354" s="13" t="str">
        <f>IF($J354=0,"",IFERROR(_xlfn.IMAGE(INDEX('Прайс и заказ'!$O:$O,$J354)),""))</f>
      </c>
      <c r="B354" s="61" t="str">
        <f>IF($J354=0,"",IF(INDEX('Прайс и заказ'!B:B,$J354)="","",INDEX('Прайс и заказ'!B:B,$J354)))</f>
      </c>
      <c r="C354" s="64" t="str">
        <f>IF($J354=0,"",IF(INDEX('Прайс и заказ'!C:C,$J354)="","",INDEX('Прайс и заказ'!C:C,$J354)))</f>
      </c>
      <c r="D354" s="64" t="str">
        <f>IF($J354=0,"",IF(INDEX('Прайс и заказ'!D:D,$J354)="","",INDEX('Прайс и заказ'!D:D,$J354)))</f>
      </c>
      <c r="E354" s="61" t="str">
        <f>IF($J354=0,"",IF(INDEX('Прайс и заказ'!F:F,$J354)="","",INDEX('Прайс и заказ'!F:F,$J354)))</f>
      </c>
      <c r="F354" s="62" t="str">
        <f>IF($J354=0,"",IF(INDEX('Прайс и заказ'!I:I,$J354)="","",INDEX('Прайс и заказ'!I:I,$J354)))</f>
      </c>
      <c r="G354" s="63" t="str">
        <f>IF($J354=0,"",IF(INDEX('Прайс и заказ'!K:K,$J354)="","",INDEX('Прайс и заказ'!K:K,$J354)))</f>
      </c>
      <c r="H354" s="62" t="str">
        <f>IF($J354=0,"",IF(INDEX('Прайс и заказ'!L:L,$J354)="","",INDEX('Прайс и заказ'!L:L,$J354)))</f>
      </c>
      <c r="I354" s="13" t="str">
        <f>IF($J354=0,"",IF(INDEX('Прайс и заказ'!M:M,$J354)="","",INDEX('Прайс и заказ'!M:M,$J354)))</f>
      </c>
      <c r="J354" t="str">
        <f>IFERROR(MATCH(346,'Прайс и заказ'!$N$7:$N$781,0)+6,0)</f>
      </c>
    </row>
    <row r="355" spans="1:11" customHeight="1" ht="40">
      <c r="A355" s="13" t="str">
        <f>IF($J355=0,"",IFERROR(_xlfn.IMAGE(INDEX('Прайс и заказ'!$O:$O,$J355)),""))</f>
      </c>
      <c r="B355" s="61" t="str">
        <f>IF($J355=0,"",IF(INDEX('Прайс и заказ'!B:B,$J355)="","",INDEX('Прайс и заказ'!B:B,$J355)))</f>
      </c>
      <c r="C355" s="64" t="str">
        <f>IF($J355=0,"",IF(INDEX('Прайс и заказ'!C:C,$J355)="","",INDEX('Прайс и заказ'!C:C,$J355)))</f>
      </c>
      <c r="D355" s="64" t="str">
        <f>IF($J355=0,"",IF(INDEX('Прайс и заказ'!D:D,$J355)="","",INDEX('Прайс и заказ'!D:D,$J355)))</f>
      </c>
      <c r="E355" s="61" t="str">
        <f>IF($J355=0,"",IF(INDEX('Прайс и заказ'!F:F,$J355)="","",INDEX('Прайс и заказ'!F:F,$J355)))</f>
      </c>
      <c r="F355" s="62" t="str">
        <f>IF($J355=0,"",IF(INDEX('Прайс и заказ'!I:I,$J355)="","",INDEX('Прайс и заказ'!I:I,$J355)))</f>
      </c>
      <c r="G355" s="63" t="str">
        <f>IF($J355=0,"",IF(INDEX('Прайс и заказ'!K:K,$J355)="","",INDEX('Прайс и заказ'!K:K,$J355)))</f>
      </c>
      <c r="H355" s="62" t="str">
        <f>IF($J355=0,"",IF(INDEX('Прайс и заказ'!L:L,$J355)="","",INDEX('Прайс и заказ'!L:L,$J355)))</f>
      </c>
      <c r="I355" s="13" t="str">
        <f>IF($J355=0,"",IF(INDEX('Прайс и заказ'!M:M,$J355)="","",INDEX('Прайс и заказ'!M:M,$J355)))</f>
      </c>
      <c r="J355" t="str">
        <f>IFERROR(MATCH(347,'Прайс и заказ'!$N$7:$N$781,0)+6,0)</f>
      </c>
    </row>
    <row r="356" spans="1:11" customHeight="1" ht="40">
      <c r="A356" s="13" t="str">
        <f>IF($J356=0,"",IFERROR(_xlfn.IMAGE(INDEX('Прайс и заказ'!$O:$O,$J356)),""))</f>
      </c>
      <c r="B356" s="61" t="str">
        <f>IF($J356=0,"",IF(INDEX('Прайс и заказ'!B:B,$J356)="","",INDEX('Прайс и заказ'!B:B,$J356)))</f>
      </c>
      <c r="C356" s="64" t="str">
        <f>IF($J356=0,"",IF(INDEX('Прайс и заказ'!C:C,$J356)="","",INDEX('Прайс и заказ'!C:C,$J356)))</f>
      </c>
      <c r="D356" s="64" t="str">
        <f>IF($J356=0,"",IF(INDEX('Прайс и заказ'!D:D,$J356)="","",INDEX('Прайс и заказ'!D:D,$J356)))</f>
      </c>
      <c r="E356" s="61" t="str">
        <f>IF($J356=0,"",IF(INDEX('Прайс и заказ'!F:F,$J356)="","",INDEX('Прайс и заказ'!F:F,$J356)))</f>
      </c>
      <c r="F356" s="62" t="str">
        <f>IF($J356=0,"",IF(INDEX('Прайс и заказ'!I:I,$J356)="","",INDEX('Прайс и заказ'!I:I,$J356)))</f>
      </c>
      <c r="G356" s="63" t="str">
        <f>IF($J356=0,"",IF(INDEX('Прайс и заказ'!K:K,$J356)="","",INDEX('Прайс и заказ'!K:K,$J356)))</f>
      </c>
      <c r="H356" s="62" t="str">
        <f>IF($J356=0,"",IF(INDEX('Прайс и заказ'!L:L,$J356)="","",INDEX('Прайс и заказ'!L:L,$J356)))</f>
      </c>
      <c r="I356" s="13" t="str">
        <f>IF($J356=0,"",IF(INDEX('Прайс и заказ'!M:M,$J356)="","",INDEX('Прайс и заказ'!M:M,$J356)))</f>
      </c>
      <c r="J356" t="str">
        <f>IFERROR(MATCH(348,'Прайс и заказ'!$N$7:$N$781,0)+6,0)</f>
      </c>
    </row>
    <row r="357" spans="1:11" customHeight="1" ht="40">
      <c r="A357" s="13" t="str">
        <f>IF($J357=0,"",IFERROR(_xlfn.IMAGE(INDEX('Прайс и заказ'!$O:$O,$J357)),""))</f>
      </c>
      <c r="B357" s="61" t="str">
        <f>IF($J357=0,"",IF(INDEX('Прайс и заказ'!B:B,$J357)="","",INDEX('Прайс и заказ'!B:B,$J357)))</f>
      </c>
      <c r="C357" s="64" t="str">
        <f>IF($J357=0,"",IF(INDEX('Прайс и заказ'!C:C,$J357)="","",INDEX('Прайс и заказ'!C:C,$J357)))</f>
      </c>
      <c r="D357" s="64" t="str">
        <f>IF($J357=0,"",IF(INDEX('Прайс и заказ'!D:D,$J357)="","",INDEX('Прайс и заказ'!D:D,$J357)))</f>
      </c>
      <c r="E357" s="61" t="str">
        <f>IF($J357=0,"",IF(INDEX('Прайс и заказ'!F:F,$J357)="","",INDEX('Прайс и заказ'!F:F,$J357)))</f>
      </c>
      <c r="F357" s="62" t="str">
        <f>IF($J357=0,"",IF(INDEX('Прайс и заказ'!I:I,$J357)="","",INDEX('Прайс и заказ'!I:I,$J357)))</f>
      </c>
      <c r="G357" s="63" t="str">
        <f>IF($J357=0,"",IF(INDEX('Прайс и заказ'!K:K,$J357)="","",INDEX('Прайс и заказ'!K:K,$J357)))</f>
      </c>
      <c r="H357" s="62" t="str">
        <f>IF($J357=0,"",IF(INDEX('Прайс и заказ'!L:L,$J357)="","",INDEX('Прайс и заказ'!L:L,$J357)))</f>
      </c>
      <c r="I357" s="13" t="str">
        <f>IF($J357=0,"",IF(INDEX('Прайс и заказ'!M:M,$J357)="","",INDEX('Прайс и заказ'!M:M,$J357)))</f>
      </c>
      <c r="J357" t="str">
        <f>IFERROR(MATCH(349,'Прайс и заказ'!$N$7:$N$781,0)+6,0)</f>
      </c>
    </row>
    <row r="358" spans="1:11" customHeight="1" ht="40">
      <c r="A358" s="13" t="str">
        <f>IF($J358=0,"",IFERROR(_xlfn.IMAGE(INDEX('Прайс и заказ'!$O:$O,$J358)),""))</f>
      </c>
      <c r="B358" s="61" t="str">
        <f>IF($J358=0,"",IF(INDEX('Прайс и заказ'!B:B,$J358)="","",INDEX('Прайс и заказ'!B:B,$J358)))</f>
      </c>
      <c r="C358" s="64" t="str">
        <f>IF($J358=0,"",IF(INDEX('Прайс и заказ'!C:C,$J358)="","",INDEX('Прайс и заказ'!C:C,$J358)))</f>
      </c>
      <c r="D358" s="64" t="str">
        <f>IF($J358=0,"",IF(INDEX('Прайс и заказ'!D:D,$J358)="","",INDEX('Прайс и заказ'!D:D,$J358)))</f>
      </c>
      <c r="E358" s="61" t="str">
        <f>IF($J358=0,"",IF(INDEX('Прайс и заказ'!F:F,$J358)="","",INDEX('Прайс и заказ'!F:F,$J358)))</f>
      </c>
      <c r="F358" s="62" t="str">
        <f>IF($J358=0,"",IF(INDEX('Прайс и заказ'!I:I,$J358)="","",INDEX('Прайс и заказ'!I:I,$J358)))</f>
      </c>
      <c r="G358" s="63" t="str">
        <f>IF($J358=0,"",IF(INDEX('Прайс и заказ'!K:K,$J358)="","",INDEX('Прайс и заказ'!K:K,$J358)))</f>
      </c>
      <c r="H358" s="62" t="str">
        <f>IF($J358=0,"",IF(INDEX('Прайс и заказ'!L:L,$J358)="","",INDEX('Прайс и заказ'!L:L,$J358)))</f>
      </c>
      <c r="I358" s="13" t="str">
        <f>IF($J358=0,"",IF(INDEX('Прайс и заказ'!M:M,$J358)="","",INDEX('Прайс и заказ'!M:M,$J358)))</f>
      </c>
      <c r="J358" t="str">
        <f>IFERROR(MATCH(350,'Прайс и заказ'!$N$7:$N$781,0)+6,0)</f>
      </c>
    </row>
    <row r="359" spans="1:11" customHeight="1" ht="40">
      <c r="A359" s="13" t="str">
        <f>IF($J359=0,"",IFERROR(_xlfn.IMAGE(INDEX('Прайс и заказ'!$O:$O,$J359)),""))</f>
      </c>
      <c r="B359" s="61" t="str">
        <f>IF($J359=0,"",IF(INDEX('Прайс и заказ'!B:B,$J359)="","",INDEX('Прайс и заказ'!B:B,$J359)))</f>
      </c>
      <c r="C359" s="64" t="str">
        <f>IF($J359=0,"",IF(INDEX('Прайс и заказ'!C:C,$J359)="","",INDEX('Прайс и заказ'!C:C,$J359)))</f>
      </c>
      <c r="D359" s="64" t="str">
        <f>IF($J359=0,"",IF(INDEX('Прайс и заказ'!D:D,$J359)="","",INDEX('Прайс и заказ'!D:D,$J359)))</f>
      </c>
      <c r="E359" s="61" t="str">
        <f>IF($J359=0,"",IF(INDEX('Прайс и заказ'!F:F,$J359)="","",INDEX('Прайс и заказ'!F:F,$J359)))</f>
      </c>
      <c r="F359" s="62" t="str">
        <f>IF($J359=0,"",IF(INDEX('Прайс и заказ'!I:I,$J359)="","",INDEX('Прайс и заказ'!I:I,$J359)))</f>
      </c>
      <c r="G359" s="63" t="str">
        <f>IF($J359=0,"",IF(INDEX('Прайс и заказ'!K:K,$J359)="","",INDEX('Прайс и заказ'!K:K,$J359)))</f>
      </c>
      <c r="H359" s="62" t="str">
        <f>IF($J359=0,"",IF(INDEX('Прайс и заказ'!L:L,$J359)="","",INDEX('Прайс и заказ'!L:L,$J359)))</f>
      </c>
      <c r="I359" s="13" t="str">
        <f>IF($J359=0,"",IF(INDEX('Прайс и заказ'!M:M,$J359)="","",INDEX('Прайс и заказ'!M:M,$J359)))</f>
      </c>
      <c r="J359" t="str">
        <f>IFERROR(MATCH(351,'Прайс и заказ'!$N$7:$N$781,0)+6,0)</f>
      </c>
    </row>
    <row r="360" spans="1:11" customHeight="1" ht="40">
      <c r="A360" s="13" t="str">
        <f>IF($J360=0,"",IFERROR(_xlfn.IMAGE(INDEX('Прайс и заказ'!$O:$O,$J360)),""))</f>
      </c>
      <c r="B360" s="61" t="str">
        <f>IF($J360=0,"",IF(INDEX('Прайс и заказ'!B:B,$J360)="","",INDEX('Прайс и заказ'!B:B,$J360)))</f>
      </c>
      <c r="C360" s="64" t="str">
        <f>IF($J360=0,"",IF(INDEX('Прайс и заказ'!C:C,$J360)="","",INDEX('Прайс и заказ'!C:C,$J360)))</f>
      </c>
      <c r="D360" s="64" t="str">
        <f>IF($J360=0,"",IF(INDEX('Прайс и заказ'!D:D,$J360)="","",INDEX('Прайс и заказ'!D:D,$J360)))</f>
      </c>
      <c r="E360" s="61" t="str">
        <f>IF($J360=0,"",IF(INDEX('Прайс и заказ'!F:F,$J360)="","",INDEX('Прайс и заказ'!F:F,$J360)))</f>
      </c>
      <c r="F360" s="62" t="str">
        <f>IF($J360=0,"",IF(INDEX('Прайс и заказ'!I:I,$J360)="","",INDEX('Прайс и заказ'!I:I,$J360)))</f>
      </c>
      <c r="G360" s="63" t="str">
        <f>IF($J360=0,"",IF(INDEX('Прайс и заказ'!K:K,$J360)="","",INDEX('Прайс и заказ'!K:K,$J360)))</f>
      </c>
      <c r="H360" s="62" t="str">
        <f>IF($J360=0,"",IF(INDEX('Прайс и заказ'!L:L,$J360)="","",INDEX('Прайс и заказ'!L:L,$J360)))</f>
      </c>
      <c r="I360" s="13" t="str">
        <f>IF($J360=0,"",IF(INDEX('Прайс и заказ'!M:M,$J360)="","",INDEX('Прайс и заказ'!M:M,$J360)))</f>
      </c>
      <c r="J360" t="str">
        <f>IFERROR(MATCH(352,'Прайс и заказ'!$N$7:$N$781,0)+6,0)</f>
      </c>
    </row>
    <row r="361" spans="1:11" customHeight="1" ht="40">
      <c r="A361" s="13" t="str">
        <f>IF($J361=0,"",IFERROR(_xlfn.IMAGE(INDEX('Прайс и заказ'!$O:$O,$J361)),""))</f>
      </c>
      <c r="B361" s="61" t="str">
        <f>IF($J361=0,"",IF(INDEX('Прайс и заказ'!B:B,$J361)="","",INDEX('Прайс и заказ'!B:B,$J361)))</f>
      </c>
      <c r="C361" s="64" t="str">
        <f>IF($J361=0,"",IF(INDEX('Прайс и заказ'!C:C,$J361)="","",INDEX('Прайс и заказ'!C:C,$J361)))</f>
      </c>
      <c r="D361" s="64" t="str">
        <f>IF($J361=0,"",IF(INDEX('Прайс и заказ'!D:D,$J361)="","",INDEX('Прайс и заказ'!D:D,$J361)))</f>
      </c>
      <c r="E361" s="61" t="str">
        <f>IF($J361=0,"",IF(INDEX('Прайс и заказ'!F:F,$J361)="","",INDEX('Прайс и заказ'!F:F,$J361)))</f>
      </c>
      <c r="F361" s="62" t="str">
        <f>IF($J361=0,"",IF(INDEX('Прайс и заказ'!I:I,$J361)="","",INDEX('Прайс и заказ'!I:I,$J361)))</f>
      </c>
      <c r="G361" s="63" t="str">
        <f>IF($J361=0,"",IF(INDEX('Прайс и заказ'!K:K,$J361)="","",INDEX('Прайс и заказ'!K:K,$J361)))</f>
      </c>
      <c r="H361" s="62" t="str">
        <f>IF($J361=0,"",IF(INDEX('Прайс и заказ'!L:L,$J361)="","",INDEX('Прайс и заказ'!L:L,$J361)))</f>
      </c>
      <c r="I361" s="13" t="str">
        <f>IF($J361=0,"",IF(INDEX('Прайс и заказ'!M:M,$J361)="","",INDEX('Прайс и заказ'!M:M,$J361)))</f>
      </c>
      <c r="J361" t="str">
        <f>IFERROR(MATCH(353,'Прайс и заказ'!$N$7:$N$781,0)+6,0)</f>
      </c>
    </row>
    <row r="362" spans="1:11" customHeight="1" ht="40">
      <c r="A362" s="13" t="str">
        <f>IF($J362=0,"",IFERROR(_xlfn.IMAGE(INDEX('Прайс и заказ'!$O:$O,$J362)),""))</f>
      </c>
      <c r="B362" s="61" t="str">
        <f>IF($J362=0,"",IF(INDEX('Прайс и заказ'!B:B,$J362)="","",INDEX('Прайс и заказ'!B:B,$J362)))</f>
      </c>
      <c r="C362" s="64" t="str">
        <f>IF($J362=0,"",IF(INDEX('Прайс и заказ'!C:C,$J362)="","",INDEX('Прайс и заказ'!C:C,$J362)))</f>
      </c>
      <c r="D362" s="64" t="str">
        <f>IF($J362=0,"",IF(INDEX('Прайс и заказ'!D:D,$J362)="","",INDEX('Прайс и заказ'!D:D,$J362)))</f>
      </c>
      <c r="E362" s="61" t="str">
        <f>IF($J362=0,"",IF(INDEX('Прайс и заказ'!F:F,$J362)="","",INDEX('Прайс и заказ'!F:F,$J362)))</f>
      </c>
      <c r="F362" s="62" t="str">
        <f>IF($J362=0,"",IF(INDEX('Прайс и заказ'!I:I,$J362)="","",INDEX('Прайс и заказ'!I:I,$J362)))</f>
      </c>
      <c r="G362" s="63" t="str">
        <f>IF($J362=0,"",IF(INDEX('Прайс и заказ'!K:K,$J362)="","",INDEX('Прайс и заказ'!K:K,$J362)))</f>
      </c>
      <c r="H362" s="62" t="str">
        <f>IF($J362=0,"",IF(INDEX('Прайс и заказ'!L:L,$J362)="","",INDEX('Прайс и заказ'!L:L,$J362)))</f>
      </c>
      <c r="I362" s="13" t="str">
        <f>IF($J362=0,"",IF(INDEX('Прайс и заказ'!M:M,$J362)="","",INDEX('Прайс и заказ'!M:M,$J362)))</f>
      </c>
      <c r="J362" t="str">
        <f>IFERROR(MATCH(354,'Прайс и заказ'!$N$7:$N$781,0)+6,0)</f>
      </c>
    </row>
    <row r="363" spans="1:11" customHeight="1" ht="40">
      <c r="A363" s="13" t="str">
        <f>IF($J363=0,"",IFERROR(_xlfn.IMAGE(INDEX('Прайс и заказ'!$O:$O,$J363)),""))</f>
      </c>
      <c r="B363" s="61" t="str">
        <f>IF($J363=0,"",IF(INDEX('Прайс и заказ'!B:B,$J363)="","",INDEX('Прайс и заказ'!B:B,$J363)))</f>
      </c>
      <c r="C363" s="64" t="str">
        <f>IF($J363=0,"",IF(INDEX('Прайс и заказ'!C:C,$J363)="","",INDEX('Прайс и заказ'!C:C,$J363)))</f>
      </c>
      <c r="D363" s="64" t="str">
        <f>IF($J363=0,"",IF(INDEX('Прайс и заказ'!D:D,$J363)="","",INDEX('Прайс и заказ'!D:D,$J363)))</f>
      </c>
      <c r="E363" s="61" t="str">
        <f>IF($J363=0,"",IF(INDEX('Прайс и заказ'!F:F,$J363)="","",INDEX('Прайс и заказ'!F:F,$J363)))</f>
      </c>
      <c r="F363" s="62" t="str">
        <f>IF($J363=0,"",IF(INDEX('Прайс и заказ'!I:I,$J363)="","",INDEX('Прайс и заказ'!I:I,$J363)))</f>
      </c>
      <c r="G363" s="63" t="str">
        <f>IF($J363=0,"",IF(INDEX('Прайс и заказ'!K:K,$J363)="","",INDEX('Прайс и заказ'!K:K,$J363)))</f>
      </c>
      <c r="H363" s="62" t="str">
        <f>IF($J363=0,"",IF(INDEX('Прайс и заказ'!L:L,$J363)="","",INDEX('Прайс и заказ'!L:L,$J363)))</f>
      </c>
      <c r="I363" s="13" t="str">
        <f>IF($J363=0,"",IF(INDEX('Прайс и заказ'!M:M,$J363)="","",INDEX('Прайс и заказ'!M:M,$J363)))</f>
      </c>
      <c r="J363" t="str">
        <f>IFERROR(MATCH(355,'Прайс и заказ'!$N$7:$N$781,0)+6,0)</f>
      </c>
    </row>
    <row r="364" spans="1:11" customHeight="1" ht="40">
      <c r="A364" s="13" t="str">
        <f>IF($J364=0,"",IFERROR(_xlfn.IMAGE(INDEX('Прайс и заказ'!$O:$O,$J364)),""))</f>
      </c>
      <c r="B364" s="61" t="str">
        <f>IF($J364=0,"",IF(INDEX('Прайс и заказ'!B:B,$J364)="","",INDEX('Прайс и заказ'!B:B,$J364)))</f>
      </c>
      <c r="C364" s="64" t="str">
        <f>IF($J364=0,"",IF(INDEX('Прайс и заказ'!C:C,$J364)="","",INDEX('Прайс и заказ'!C:C,$J364)))</f>
      </c>
      <c r="D364" s="64" t="str">
        <f>IF($J364=0,"",IF(INDEX('Прайс и заказ'!D:D,$J364)="","",INDEX('Прайс и заказ'!D:D,$J364)))</f>
      </c>
      <c r="E364" s="61" t="str">
        <f>IF($J364=0,"",IF(INDEX('Прайс и заказ'!F:F,$J364)="","",INDEX('Прайс и заказ'!F:F,$J364)))</f>
      </c>
      <c r="F364" s="62" t="str">
        <f>IF($J364=0,"",IF(INDEX('Прайс и заказ'!I:I,$J364)="","",INDEX('Прайс и заказ'!I:I,$J364)))</f>
      </c>
      <c r="G364" s="63" t="str">
        <f>IF($J364=0,"",IF(INDEX('Прайс и заказ'!K:K,$J364)="","",INDEX('Прайс и заказ'!K:K,$J364)))</f>
      </c>
      <c r="H364" s="62" t="str">
        <f>IF($J364=0,"",IF(INDEX('Прайс и заказ'!L:L,$J364)="","",INDEX('Прайс и заказ'!L:L,$J364)))</f>
      </c>
      <c r="I364" s="13" t="str">
        <f>IF($J364=0,"",IF(INDEX('Прайс и заказ'!M:M,$J364)="","",INDEX('Прайс и заказ'!M:M,$J364)))</f>
      </c>
      <c r="J364" t="str">
        <f>IFERROR(MATCH(356,'Прайс и заказ'!$N$7:$N$781,0)+6,0)</f>
      </c>
    </row>
    <row r="365" spans="1:11" customHeight="1" ht="40">
      <c r="A365" s="13" t="str">
        <f>IF($J365=0,"",IFERROR(_xlfn.IMAGE(INDEX('Прайс и заказ'!$O:$O,$J365)),""))</f>
      </c>
      <c r="B365" s="61" t="str">
        <f>IF($J365=0,"",IF(INDEX('Прайс и заказ'!B:B,$J365)="","",INDEX('Прайс и заказ'!B:B,$J365)))</f>
      </c>
      <c r="C365" s="64" t="str">
        <f>IF($J365=0,"",IF(INDEX('Прайс и заказ'!C:C,$J365)="","",INDEX('Прайс и заказ'!C:C,$J365)))</f>
      </c>
      <c r="D365" s="64" t="str">
        <f>IF($J365=0,"",IF(INDEX('Прайс и заказ'!D:D,$J365)="","",INDEX('Прайс и заказ'!D:D,$J365)))</f>
      </c>
      <c r="E365" s="61" t="str">
        <f>IF($J365=0,"",IF(INDEX('Прайс и заказ'!F:F,$J365)="","",INDEX('Прайс и заказ'!F:F,$J365)))</f>
      </c>
      <c r="F365" s="62" t="str">
        <f>IF($J365=0,"",IF(INDEX('Прайс и заказ'!I:I,$J365)="","",INDEX('Прайс и заказ'!I:I,$J365)))</f>
      </c>
      <c r="G365" s="63" t="str">
        <f>IF($J365=0,"",IF(INDEX('Прайс и заказ'!K:K,$J365)="","",INDEX('Прайс и заказ'!K:K,$J365)))</f>
      </c>
      <c r="H365" s="62" t="str">
        <f>IF($J365=0,"",IF(INDEX('Прайс и заказ'!L:L,$J365)="","",INDEX('Прайс и заказ'!L:L,$J365)))</f>
      </c>
      <c r="I365" s="13" t="str">
        <f>IF($J365=0,"",IF(INDEX('Прайс и заказ'!M:M,$J365)="","",INDEX('Прайс и заказ'!M:M,$J365)))</f>
      </c>
      <c r="J365" t="str">
        <f>IFERROR(MATCH(357,'Прайс и заказ'!$N$7:$N$781,0)+6,0)</f>
      </c>
    </row>
    <row r="366" spans="1:11" customHeight="1" ht="40">
      <c r="A366" s="13" t="str">
        <f>IF($J366=0,"",IFERROR(_xlfn.IMAGE(INDEX('Прайс и заказ'!$O:$O,$J366)),""))</f>
      </c>
      <c r="B366" s="61" t="str">
        <f>IF($J366=0,"",IF(INDEX('Прайс и заказ'!B:B,$J366)="","",INDEX('Прайс и заказ'!B:B,$J366)))</f>
      </c>
      <c r="C366" s="64" t="str">
        <f>IF($J366=0,"",IF(INDEX('Прайс и заказ'!C:C,$J366)="","",INDEX('Прайс и заказ'!C:C,$J366)))</f>
      </c>
      <c r="D366" s="64" t="str">
        <f>IF($J366=0,"",IF(INDEX('Прайс и заказ'!D:D,$J366)="","",INDEX('Прайс и заказ'!D:D,$J366)))</f>
      </c>
      <c r="E366" s="61" t="str">
        <f>IF($J366=0,"",IF(INDEX('Прайс и заказ'!F:F,$J366)="","",INDEX('Прайс и заказ'!F:F,$J366)))</f>
      </c>
      <c r="F366" s="62" t="str">
        <f>IF($J366=0,"",IF(INDEX('Прайс и заказ'!I:I,$J366)="","",INDEX('Прайс и заказ'!I:I,$J366)))</f>
      </c>
      <c r="G366" s="63" t="str">
        <f>IF($J366=0,"",IF(INDEX('Прайс и заказ'!K:K,$J366)="","",INDEX('Прайс и заказ'!K:K,$J366)))</f>
      </c>
      <c r="H366" s="62" t="str">
        <f>IF($J366=0,"",IF(INDEX('Прайс и заказ'!L:L,$J366)="","",INDEX('Прайс и заказ'!L:L,$J366)))</f>
      </c>
      <c r="I366" s="13" t="str">
        <f>IF($J366=0,"",IF(INDEX('Прайс и заказ'!M:M,$J366)="","",INDEX('Прайс и заказ'!M:M,$J366)))</f>
      </c>
      <c r="J366" t="str">
        <f>IFERROR(MATCH(358,'Прайс и заказ'!$N$7:$N$781,0)+6,0)</f>
      </c>
    </row>
    <row r="367" spans="1:11" customHeight="1" ht="40">
      <c r="A367" s="13" t="str">
        <f>IF($J367=0,"",IFERROR(_xlfn.IMAGE(INDEX('Прайс и заказ'!$O:$O,$J367)),""))</f>
      </c>
      <c r="B367" s="61" t="str">
        <f>IF($J367=0,"",IF(INDEX('Прайс и заказ'!B:B,$J367)="","",INDEX('Прайс и заказ'!B:B,$J367)))</f>
      </c>
      <c r="C367" s="64" t="str">
        <f>IF($J367=0,"",IF(INDEX('Прайс и заказ'!C:C,$J367)="","",INDEX('Прайс и заказ'!C:C,$J367)))</f>
      </c>
      <c r="D367" s="64" t="str">
        <f>IF($J367=0,"",IF(INDEX('Прайс и заказ'!D:D,$J367)="","",INDEX('Прайс и заказ'!D:D,$J367)))</f>
      </c>
      <c r="E367" s="61" t="str">
        <f>IF($J367=0,"",IF(INDEX('Прайс и заказ'!F:F,$J367)="","",INDEX('Прайс и заказ'!F:F,$J367)))</f>
      </c>
      <c r="F367" s="62" t="str">
        <f>IF($J367=0,"",IF(INDEX('Прайс и заказ'!I:I,$J367)="","",INDEX('Прайс и заказ'!I:I,$J367)))</f>
      </c>
      <c r="G367" s="63" t="str">
        <f>IF($J367=0,"",IF(INDEX('Прайс и заказ'!K:K,$J367)="","",INDEX('Прайс и заказ'!K:K,$J367)))</f>
      </c>
      <c r="H367" s="62" t="str">
        <f>IF($J367=0,"",IF(INDEX('Прайс и заказ'!L:L,$J367)="","",INDEX('Прайс и заказ'!L:L,$J367)))</f>
      </c>
      <c r="I367" s="13" t="str">
        <f>IF($J367=0,"",IF(INDEX('Прайс и заказ'!M:M,$J367)="","",INDEX('Прайс и заказ'!M:M,$J367)))</f>
      </c>
      <c r="J367" t="str">
        <f>IFERROR(MATCH(359,'Прайс и заказ'!$N$7:$N$781,0)+6,0)</f>
      </c>
    </row>
    <row r="368" spans="1:11" customHeight="1" ht="40">
      <c r="A368" s="13" t="str">
        <f>IF($J368=0,"",IFERROR(_xlfn.IMAGE(INDEX('Прайс и заказ'!$O:$O,$J368)),""))</f>
      </c>
      <c r="B368" s="61" t="str">
        <f>IF($J368=0,"",IF(INDEX('Прайс и заказ'!B:B,$J368)="","",INDEX('Прайс и заказ'!B:B,$J368)))</f>
      </c>
      <c r="C368" s="64" t="str">
        <f>IF($J368=0,"",IF(INDEX('Прайс и заказ'!C:C,$J368)="","",INDEX('Прайс и заказ'!C:C,$J368)))</f>
      </c>
      <c r="D368" s="64" t="str">
        <f>IF($J368=0,"",IF(INDEX('Прайс и заказ'!D:D,$J368)="","",INDEX('Прайс и заказ'!D:D,$J368)))</f>
      </c>
      <c r="E368" s="61" t="str">
        <f>IF($J368=0,"",IF(INDEX('Прайс и заказ'!F:F,$J368)="","",INDEX('Прайс и заказ'!F:F,$J368)))</f>
      </c>
      <c r="F368" s="62" t="str">
        <f>IF($J368=0,"",IF(INDEX('Прайс и заказ'!I:I,$J368)="","",INDEX('Прайс и заказ'!I:I,$J368)))</f>
      </c>
      <c r="G368" s="63" t="str">
        <f>IF($J368=0,"",IF(INDEX('Прайс и заказ'!K:K,$J368)="","",INDEX('Прайс и заказ'!K:K,$J368)))</f>
      </c>
      <c r="H368" s="62" t="str">
        <f>IF($J368=0,"",IF(INDEX('Прайс и заказ'!L:L,$J368)="","",INDEX('Прайс и заказ'!L:L,$J368)))</f>
      </c>
      <c r="I368" s="13" t="str">
        <f>IF($J368=0,"",IF(INDEX('Прайс и заказ'!M:M,$J368)="","",INDEX('Прайс и заказ'!M:M,$J368)))</f>
      </c>
      <c r="J368" t="str">
        <f>IFERROR(MATCH(360,'Прайс и заказ'!$N$7:$N$781,0)+6,0)</f>
      </c>
    </row>
    <row r="369" spans="1:11" customHeight="1" ht="40">
      <c r="A369" s="13" t="str">
        <f>IF($J369=0,"",IFERROR(_xlfn.IMAGE(INDEX('Прайс и заказ'!$O:$O,$J369)),""))</f>
      </c>
      <c r="B369" s="61" t="str">
        <f>IF($J369=0,"",IF(INDEX('Прайс и заказ'!B:B,$J369)="","",INDEX('Прайс и заказ'!B:B,$J369)))</f>
      </c>
      <c r="C369" s="64" t="str">
        <f>IF($J369=0,"",IF(INDEX('Прайс и заказ'!C:C,$J369)="","",INDEX('Прайс и заказ'!C:C,$J369)))</f>
      </c>
      <c r="D369" s="64" t="str">
        <f>IF($J369=0,"",IF(INDEX('Прайс и заказ'!D:D,$J369)="","",INDEX('Прайс и заказ'!D:D,$J369)))</f>
      </c>
      <c r="E369" s="61" t="str">
        <f>IF($J369=0,"",IF(INDEX('Прайс и заказ'!F:F,$J369)="","",INDEX('Прайс и заказ'!F:F,$J369)))</f>
      </c>
      <c r="F369" s="62" t="str">
        <f>IF($J369=0,"",IF(INDEX('Прайс и заказ'!I:I,$J369)="","",INDEX('Прайс и заказ'!I:I,$J369)))</f>
      </c>
      <c r="G369" s="63" t="str">
        <f>IF($J369=0,"",IF(INDEX('Прайс и заказ'!K:K,$J369)="","",INDEX('Прайс и заказ'!K:K,$J369)))</f>
      </c>
      <c r="H369" s="62" t="str">
        <f>IF($J369=0,"",IF(INDEX('Прайс и заказ'!L:L,$J369)="","",INDEX('Прайс и заказ'!L:L,$J369)))</f>
      </c>
      <c r="I369" s="13" t="str">
        <f>IF($J369=0,"",IF(INDEX('Прайс и заказ'!M:M,$J369)="","",INDEX('Прайс и заказ'!M:M,$J369)))</f>
      </c>
      <c r="J369" t="str">
        <f>IFERROR(MATCH(361,'Прайс и заказ'!$N$7:$N$781,0)+6,0)</f>
      </c>
    </row>
    <row r="370" spans="1:11" customHeight="1" ht="40">
      <c r="A370" s="13" t="str">
        <f>IF($J370=0,"",IFERROR(_xlfn.IMAGE(INDEX('Прайс и заказ'!$O:$O,$J370)),""))</f>
      </c>
      <c r="B370" s="61" t="str">
        <f>IF($J370=0,"",IF(INDEX('Прайс и заказ'!B:B,$J370)="","",INDEX('Прайс и заказ'!B:B,$J370)))</f>
      </c>
      <c r="C370" s="64" t="str">
        <f>IF($J370=0,"",IF(INDEX('Прайс и заказ'!C:C,$J370)="","",INDEX('Прайс и заказ'!C:C,$J370)))</f>
      </c>
      <c r="D370" s="64" t="str">
        <f>IF($J370=0,"",IF(INDEX('Прайс и заказ'!D:D,$J370)="","",INDEX('Прайс и заказ'!D:D,$J370)))</f>
      </c>
      <c r="E370" s="61" t="str">
        <f>IF($J370=0,"",IF(INDEX('Прайс и заказ'!F:F,$J370)="","",INDEX('Прайс и заказ'!F:F,$J370)))</f>
      </c>
      <c r="F370" s="62" t="str">
        <f>IF($J370=0,"",IF(INDEX('Прайс и заказ'!I:I,$J370)="","",INDEX('Прайс и заказ'!I:I,$J370)))</f>
      </c>
      <c r="G370" s="63" t="str">
        <f>IF($J370=0,"",IF(INDEX('Прайс и заказ'!K:K,$J370)="","",INDEX('Прайс и заказ'!K:K,$J370)))</f>
      </c>
      <c r="H370" s="62" t="str">
        <f>IF($J370=0,"",IF(INDEX('Прайс и заказ'!L:L,$J370)="","",INDEX('Прайс и заказ'!L:L,$J370)))</f>
      </c>
      <c r="I370" s="13" t="str">
        <f>IF($J370=0,"",IF(INDEX('Прайс и заказ'!M:M,$J370)="","",INDEX('Прайс и заказ'!M:M,$J370)))</f>
      </c>
      <c r="J370" t="str">
        <f>IFERROR(MATCH(362,'Прайс и заказ'!$N$7:$N$781,0)+6,0)</f>
      </c>
    </row>
    <row r="371" spans="1:11" customHeight="1" ht="40">
      <c r="A371" s="13" t="str">
        <f>IF($J371=0,"",IFERROR(_xlfn.IMAGE(INDEX('Прайс и заказ'!$O:$O,$J371)),""))</f>
      </c>
      <c r="B371" s="61" t="str">
        <f>IF($J371=0,"",IF(INDEX('Прайс и заказ'!B:B,$J371)="","",INDEX('Прайс и заказ'!B:B,$J371)))</f>
      </c>
      <c r="C371" s="64" t="str">
        <f>IF($J371=0,"",IF(INDEX('Прайс и заказ'!C:C,$J371)="","",INDEX('Прайс и заказ'!C:C,$J371)))</f>
      </c>
      <c r="D371" s="64" t="str">
        <f>IF($J371=0,"",IF(INDEX('Прайс и заказ'!D:D,$J371)="","",INDEX('Прайс и заказ'!D:D,$J371)))</f>
      </c>
      <c r="E371" s="61" t="str">
        <f>IF($J371=0,"",IF(INDEX('Прайс и заказ'!F:F,$J371)="","",INDEX('Прайс и заказ'!F:F,$J371)))</f>
      </c>
      <c r="F371" s="62" t="str">
        <f>IF($J371=0,"",IF(INDEX('Прайс и заказ'!I:I,$J371)="","",INDEX('Прайс и заказ'!I:I,$J371)))</f>
      </c>
      <c r="G371" s="63" t="str">
        <f>IF($J371=0,"",IF(INDEX('Прайс и заказ'!K:K,$J371)="","",INDEX('Прайс и заказ'!K:K,$J371)))</f>
      </c>
      <c r="H371" s="62" t="str">
        <f>IF($J371=0,"",IF(INDEX('Прайс и заказ'!L:L,$J371)="","",INDEX('Прайс и заказ'!L:L,$J371)))</f>
      </c>
      <c r="I371" s="13" t="str">
        <f>IF($J371=0,"",IF(INDEX('Прайс и заказ'!M:M,$J371)="","",INDEX('Прайс и заказ'!M:M,$J371)))</f>
      </c>
      <c r="J371" t="str">
        <f>IFERROR(MATCH(363,'Прайс и заказ'!$N$7:$N$781,0)+6,0)</f>
      </c>
    </row>
    <row r="372" spans="1:11" customHeight="1" ht="40">
      <c r="A372" s="13" t="str">
        <f>IF($J372=0,"",IFERROR(_xlfn.IMAGE(INDEX('Прайс и заказ'!$O:$O,$J372)),""))</f>
      </c>
      <c r="B372" s="61" t="str">
        <f>IF($J372=0,"",IF(INDEX('Прайс и заказ'!B:B,$J372)="","",INDEX('Прайс и заказ'!B:B,$J372)))</f>
      </c>
      <c r="C372" s="64" t="str">
        <f>IF($J372=0,"",IF(INDEX('Прайс и заказ'!C:C,$J372)="","",INDEX('Прайс и заказ'!C:C,$J372)))</f>
      </c>
      <c r="D372" s="64" t="str">
        <f>IF($J372=0,"",IF(INDEX('Прайс и заказ'!D:D,$J372)="","",INDEX('Прайс и заказ'!D:D,$J372)))</f>
      </c>
      <c r="E372" s="61" t="str">
        <f>IF($J372=0,"",IF(INDEX('Прайс и заказ'!F:F,$J372)="","",INDEX('Прайс и заказ'!F:F,$J372)))</f>
      </c>
      <c r="F372" s="62" t="str">
        <f>IF($J372=0,"",IF(INDEX('Прайс и заказ'!I:I,$J372)="","",INDEX('Прайс и заказ'!I:I,$J372)))</f>
      </c>
      <c r="G372" s="63" t="str">
        <f>IF($J372=0,"",IF(INDEX('Прайс и заказ'!K:K,$J372)="","",INDEX('Прайс и заказ'!K:K,$J372)))</f>
      </c>
      <c r="H372" s="62" t="str">
        <f>IF($J372=0,"",IF(INDEX('Прайс и заказ'!L:L,$J372)="","",INDEX('Прайс и заказ'!L:L,$J372)))</f>
      </c>
      <c r="I372" s="13" t="str">
        <f>IF($J372=0,"",IF(INDEX('Прайс и заказ'!M:M,$J372)="","",INDEX('Прайс и заказ'!M:M,$J372)))</f>
      </c>
      <c r="J372" t="str">
        <f>IFERROR(MATCH(364,'Прайс и заказ'!$N$7:$N$781,0)+6,0)</f>
      </c>
    </row>
    <row r="373" spans="1:11" customHeight="1" ht="40">
      <c r="A373" s="13" t="str">
        <f>IF($J373=0,"",IFERROR(_xlfn.IMAGE(INDEX('Прайс и заказ'!$O:$O,$J373)),""))</f>
      </c>
      <c r="B373" s="61" t="str">
        <f>IF($J373=0,"",IF(INDEX('Прайс и заказ'!B:B,$J373)="","",INDEX('Прайс и заказ'!B:B,$J373)))</f>
      </c>
      <c r="C373" s="64" t="str">
        <f>IF($J373=0,"",IF(INDEX('Прайс и заказ'!C:C,$J373)="","",INDEX('Прайс и заказ'!C:C,$J373)))</f>
      </c>
      <c r="D373" s="64" t="str">
        <f>IF($J373=0,"",IF(INDEX('Прайс и заказ'!D:D,$J373)="","",INDEX('Прайс и заказ'!D:D,$J373)))</f>
      </c>
      <c r="E373" s="61" t="str">
        <f>IF($J373=0,"",IF(INDEX('Прайс и заказ'!F:F,$J373)="","",INDEX('Прайс и заказ'!F:F,$J373)))</f>
      </c>
      <c r="F373" s="62" t="str">
        <f>IF($J373=0,"",IF(INDEX('Прайс и заказ'!I:I,$J373)="","",INDEX('Прайс и заказ'!I:I,$J373)))</f>
      </c>
      <c r="G373" s="63" t="str">
        <f>IF($J373=0,"",IF(INDEX('Прайс и заказ'!K:K,$J373)="","",INDEX('Прайс и заказ'!K:K,$J373)))</f>
      </c>
      <c r="H373" s="62" t="str">
        <f>IF($J373=0,"",IF(INDEX('Прайс и заказ'!L:L,$J373)="","",INDEX('Прайс и заказ'!L:L,$J373)))</f>
      </c>
      <c r="I373" s="13" t="str">
        <f>IF($J373=0,"",IF(INDEX('Прайс и заказ'!M:M,$J373)="","",INDEX('Прайс и заказ'!M:M,$J373)))</f>
      </c>
      <c r="J373" t="str">
        <f>IFERROR(MATCH(365,'Прайс и заказ'!$N$7:$N$781,0)+6,0)</f>
      </c>
    </row>
    <row r="374" spans="1:11" customHeight="1" ht="40">
      <c r="A374" s="13" t="str">
        <f>IF($J374=0,"",IFERROR(_xlfn.IMAGE(INDEX('Прайс и заказ'!$O:$O,$J374)),""))</f>
      </c>
      <c r="B374" s="61" t="str">
        <f>IF($J374=0,"",IF(INDEX('Прайс и заказ'!B:B,$J374)="","",INDEX('Прайс и заказ'!B:B,$J374)))</f>
      </c>
      <c r="C374" s="64" t="str">
        <f>IF($J374=0,"",IF(INDEX('Прайс и заказ'!C:C,$J374)="","",INDEX('Прайс и заказ'!C:C,$J374)))</f>
      </c>
      <c r="D374" s="64" t="str">
        <f>IF($J374=0,"",IF(INDEX('Прайс и заказ'!D:D,$J374)="","",INDEX('Прайс и заказ'!D:D,$J374)))</f>
      </c>
      <c r="E374" s="61" t="str">
        <f>IF($J374=0,"",IF(INDEX('Прайс и заказ'!F:F,$J374)="","",INDEX('Прайс и заказ'!F:F,$J374)))</f>
      </c>
      <c r="F374" s="62" t="str">
        <f>IF($J374=0,"",IF(INDEX('Прайс и заказ'!I:I,$J374)="","",INDEX('Прайс и заказ'!I:I,$J374)))</f>
      </c>
      <c r="G374" s="63" t="str">
        <f>IF($J374=0,"",IF(INDEX('Прайс и заказ'!K:K,$J374)="","",INDEX('Прайс и заказ'!K:K,$J374)))</f>
      </c>
      <c r="H374" s="62" t="str">
        <f>IF($J374=0,"",IF(INDEX('Прайс и заказ'!L:L,$J374)="","",INDEX('Прайс и заказ'!L:L,$J374)))</f>
      </c>
      <c r="I374" s="13" t="str">
        <f>IF($J374=0,"",IF(INDEX('Прайс и заказ'!M:M,$J374)="","",INDEX('Прайс и заказ'!M:M,$J374)))</f>
      </c>
      <c r="J374" t="str">
        <f>IFERROR(MATCH(366,'Прайс и заказ'!$N$7:$N$781,0)+6,0)</f>
      </c>
    </row>
    <row r="375" spans="1:11" customHeight="1" ht="40">
      <c r="A375" s="13" t="str">
        <f>IF($J375=0,"",IFERROR(_xlfn.IMAGE(INDEX('Прайс и заказ'!$O:$O,$J375)),""))</f>
      </c>
      <c r="B375" s="61" t="str">
        <f>IF($J375=0,"",IF(INDEX('Прайс и заказ'!B:B,$J375)="","",INDEX('Прайс и заказ'!B:B,$J375)))</f>
      </c>
      <c r="C375" s="64" t="str">
        <f>IF($J375=0,"",IF(INDEX('Прайс и заказ'!C:C,$J375)="","",INDEX('Прайс и заказ'!C:C,$J375)))</f>
      </c>
      <c r="D375" s="64" t="str">
        <f>IF($J375=0,"",IF(INDEX('Прайс и заказ'!D:D,$J375)="","",INDEX('Прайс и заказ'!D:D,$J375)))</f>
      </c>
      <c r="E375" s="61" t="str">
        <f>IF($J375=0,"",IF(INDEX('Прайс и заказ'!F:F,$J375)="","",INDEX('Прайс и заказ'!F:F,$J375)))</f>
      </c>
      <c r="F375" s="62" t="str">
        <f>IF($J375=0,"",IF(INDEX('Прайс и заказ'!I:I,$J375)="","",INDEX('Прайс и заказ'!I:I,$J375)))</f>
      </c>
      <c r="G375" s="63" t="str">
        <f>IF($J375=0,"",IF(INDEX('Прайс и заказ'!K:K,$J375)="","",INDEX('Прайс и заказ'!K:K,$J375)))</f>
      </c>
      <c r="H375" s="62" t="str">
        <f>IF($J375=0,"",IF(INDEX('Прайс и заказ'!L:L,$J375)="","",INDEX('Прайс и заказ'!L:L,$J375)))</f>
      </c>
      <c r="I375" s="13" t="str">
        <f>IF($J375=0,"",IF(INDEX('Прайс и заказ'!M:M,$J375)="","",INDEX('Прайс и заказ'!M:M,$J375)))</f>
      </c>
      <c r="J375" t="str">
        <f>IFERROR(MATCH(367,'Прайс и заказ'!$N$7:$N$781,0)+6,0)</f>
      </c>
    </row>
    <row r="376" spans="1:11" customHeight="1" ht="40">
      <c r="A376" s="13" t="str">
        <f>IF($J376=0,"",IFERROR(_xlfn.IMAGE(INDEX('Прайс и заказ'!$O:$O,$J376)),""))</f>
      </c>
      <c r="B376" s="61" t="str">
        <f>IF($J376=0,"",IF(INDEX('Прайс и заказ'!B:B,$J376)="","",INDEX('Прайс и заказ'!B:B,$J376)))</f>
      </c>
      <c r="C376" s="64" t="str">
        <f>IF($J376=0,"",IF(INDEX('Прайс и заказ'!C:C,$J376)="","",INDEX('Прайс и заказ'!C:C,$J376)))</f>
      </c>
      <c r="D376" s="64" t="str">
        <f>IF($J376=0,"",IF(INDEX('Прайс и заказ'!D:D,$J376)="","",INDEX('Прайс и заказ'!D:D,$J376)))</f>
      </c>
      <c r="E376" s="61" t="str">
        <f>IF($J376=0,"",IF(INDEX('Прайс и заказ'!F:F,$J376)="","",INDEX('Прайс и заказ'!F:F,$J376)))</f>
      </c>
      <c r="F376" s="62" t="str">
        <f>IF($J376=0,"",IF(INDEX('Прайс и заказ'!I:I,$J376)="","",INDEX('Прайс и заказ'!I:I,$J376)))</f>
      </c>
      <c r="G376" s="63" t="str">
        <f>IF($J376=0,"",IF(INDEX('Прайс и заказ'!K:K,$J376)="","",INDEX('Прайс и заказ'!K:K,$J376)))</f>
      </c>
      <c r="H376" s="62" t="str">
        <f>IF($J376=0,"",IF(INDEX('Прайс и заказ'!L:L,$J376)="","",INDEX('Прайс и заказ'!L:L,$J376)))</f>
      </c>
      <c r="I376" s="13" t="str">
        <f>IF($J376=0,"",IF(INDEX('Прайс и заказ'!M:M,$J376)="","",INDEX('Прайс и заказ'!M:M,$J376)))</f>
      </c>
      <c r="J376" t="str">
        <f>IFERROR(MATCH(368,'Прайс и заказ'!$N$7:$N$781,0)+6,0)</f>
      </c>
    </row>
    <row r="377" spans="1:11" customHeight="1" ht="40">
      <c r="A377" s="13" t="str">
        <f>IF($J377=0,"",IFERROR(_xlfn.IMAGE(INDEX('Прайс и заказ'!$O:$O,$J377)),""))</f>
      </c>
      <c r="B377" s="61" t="str">
        <f>IF($J377=0,"",IF(INDEX('Прайс и заказ'!B:B,$J377)="","",INDEX('Прайс и заказ'!B:B,$J377)))</f>
      </c>
      <c r="C377" s="64" t="str">
        <f>IF($J377=0,"",IF(INDEX('Прайс и заказ'!C:C,$J377)="","",INDEX('Прайс и заказ'!C:C,$J377)))</f>
      </c>
      <c r="D377" s="64" t="str">
        <f>IF($J377=0,"",IF(INDEX('Прайс и заказ'!D:D,$J377)="","",INDEX('Прайс и заказ'!D:D,$J377)))</f>
      </c>
      <c r="E377" s="61" t="str">
        <f>IF($J377=0,"",IF(INDEX('Прайс и заказ'!F:F,$J377)="","",INDEX('Прайс и заказ'!F:F,$J377)))</f>
      </c>
      <c r="F377" s="62" t="str">
        <f>IF($J377=0,"",IF(INDEX('Прайс и заказ'!I:I,$J377)="","",INDEX('Прайс и заказ'!I:I,$J377)))</f>
      </c>
      <c r="G377" s="63" t="str">
        <f>IF($J377=0,"",IF(INDEX('Прайс и заказ'!K:K,$J377)="","",INDEX('Прайс и заказ'!K:K,$J377)))</f>
      </c>
      <c r="H377" s="62" t="str">
        <f>IF($J377=0,"",IF(INDEX('Прайс и заказ'!L:L,$J377)="","",INDEX('Прайс и заказ'!L:L,$J377)))</f>
      </c>
      <c r="I377" s="13" t="str">
        <f>IF($J377=0,"",IF(INDEX('Прайс и заказ'!M:M,$J377)="","",INDEX('Прайс и заказ'!M:M,$J377)))</f>
      </c>
      <c r="J377" t="str">
        <f>IFERROR(MATCH(369,'Прайс и заказ'!$N$7:$N$781,0)+6,0)</f>
      </c>
    </row>
    <row r="378" spans="1:11" customHeight="1" ht="40">
      <c r="A378" s="13" t="str">
        <f>IF($J378=0,"",IFERROR(_xlfn.IMAGE(INDEX('Прайс и заказ'!$O:$O,$J378)),""))</f>
      </c>
      <c r="B378" s="61" t="str">
        <f>IF($J378=0,"",IF(INDEX('Прайс и заказ'!B:B,$J378)="","",INDEX('Прайс и заказ'!B:B,$J378)))</f>
      </c>
      <c r="C378" s="64" t="str">
        <f>IF($J378=0,"",IF(INDEX('Прайс и заказ'!C:C,$J378)="","",INDEX('Прайс и заказ'!C:C,$J378)))</f>
      </c>
      <c r="D378" s="64" t="str">
        <f>IF($J378=0,"",IF(INDEX('Прайс и заказ'!D:D,$J378)="","",INDEX('Прайс и заказ'!D:D,$J378)))</f>
      </c>
      <c r="E378" s="61" t="str">
        <f>IF($J378=0,"",IF(INDEX('Прайс и заказ'!F:F,$J378)="","",INDEX('Прайс и заказ'!F:F,$J378)))</f>
      </c>
      <c r="F378" s="62" t="str">
        <f>IF($J378=0,"",IF(INDEX('Прайс и заказ'!I:I,$J378)="","",INDEX('Прайс и заказ'!I:I,$J378)))</f>
      </c>
      <c r="G378" s="63" t="str">
        <f>IF($J378=0,"",IF(INDEX('Прайс и заказ'!K:K,$J378)="","",INDEX('Прайс и заказ'!K:K,$J378)))</f>
      </c>
      <c r="H378" s="62" t="str">
        <f>IF($J378=0,"",IF(INDEX('Прайс и заказ'!L:L,$J378)="","",INDEX('Прайс и заказ'!L:L,$J378)))</f>
      </c>
      <c r="I378" s="13" t="str">
        <f>IF($J378=0,"",IF(INDEX('Прайс и заказ'!M:M,$J378)="","",INDEX('Прайс и заказ'!M:M,$J378)))</f>
      </c>
      <c r="J378" t="str">
        <f>IFERROR(MATCH(370,'Прайс и заказ'!$N$7:$N$781,0)+6,0)</f>
      </c>
    </row>
    <row r="379" spans="1:11" customHeight="1" ht="40">
      <c r="A379" s="13" t="str">
        <f>IF($J379=0,"",IFERROR(_xlfn.IMAGE(INDEX('Прайс и заказ'!$O:$O,$J379)),""))</f>
      </c>
      <c r="B379" s="61" t="str">
        <f>IF($J379=0,"",IF(INDEX('Прайс и заказ'!B:B,$J379)="","",INDEX('Прайс и заказ'!B:B,$J379)))</f>
      </c>
      <c r="C379" s="64" t="str">
        <f>IF($J379=0,"",IF(INDEX('Прайс и заказ'!C:C,$J379)="","",INDEX('Прайс и заказ'!C:C,$J379)))</f>
      </c>
      <c r="D379" s="64" t="str">
        <f>IF($J379=0,"",IF(INDEX('Прайс и заказ'!D:D,$J379)="","",INDEX('Прайс и заказ'!D:D,$J379)))</f>
      </c>
      <c r="E379" s="61" t="str">
        <f>IF($J379=0,"",IF(INDEX('Прайс и заказ'!F:F,$J379)="","",INDEX('Прайс и заказ'!F:F,$J379)))</f>
      </c>
      <c r="F379" s="62" t="str">
        <f>IF($J379=0,"",IF(INDEX('Прайс и заказ'!I:I,$J379)="","",INDEX('Прайс и заказ'!I:I,$J379)))</f>
      </c>
      <c r="G379" s="63" t="str">
        <f>IF($J379=0,"",IF(INDEX('Прайс и заказ'!K:K,$J379)="","",INDEX('Прайс и заказ'!K:K,$J379)))</f>
      </c>
      <c r="H379" s="62" t="str">
        <f>IF($J379=0,"",IF(INDEX('Прайс и заказ'!L:L,$J379)="","",INDEX('Прайс и заказ'!L:L,$J379)))</f>
      </c>
      <c r="I379" s="13" t="str">
        <f>IF($J379=0,"",IF(INDEX('Прайс и заказ'!M:M,$J379)="","",INDEX('Прайс и заказ'!M:M,$J379)))</f>
      </c>
      <c r="J379" t="str">
        <f>IFERROR(MATCH(371,'Прайс и заказ'!$N$7:$N$781,0)+6,0)</f>
      </c>
    </row>
    <row r="380" spans="1:11" customHeight="1" ht="40">
      <c r="A380" s="13" t="str">
        <f>IF($J380=0,"",IFERROR(_xlfn.IMAGE(INDEX('Прайс и заказ'!$O:$O,$J380)),""))</f>
      </c>
      <c r="B380" s="61" t="str">
        <f>IF($J380=0,"",IF(INDEX('Прайс и заказ'!B:B,$J380)="","",INDEX('Прайс и заказ'!B:B,$J380)))</f>
      </c>
      <c r="C380" s="64" t="str">
        <f>IF($J380=0,"",IF(INDEX('Прайс и заказ'!C:C,$J380)="","",INDEX('Прайс и заказ'!C:C,$J380)))</f>
      </c>
      <c r="D380" s="64" t="str">
        <f>IF($J380=0,"",IF(INDEX('Прайс и заказ'!D:D,$J380)="","",INDEX('Прайс и заказ'!D:D,$J380)))</f>
      </c>
      <c r="E380" s="61" t="str">
        <f>IF($J380=0,"",IF(INDEX('Прайс и заказ'!F:F,$J380)="","",INDEX('Прайс и заказ'!F:F,$J380)))</f>
      </c>
      <c r="F380" s="62" t="str">
        <f>IF($J380=0,"",IF(INDEX('Прайс и заказ'!I:I,$J380)="","",INDEX('Прайс и заказ'!I:I,$J380)))</f>
      </c>
      <c r="G380" s="63" t="str">
        <f>IF($J380=0,"",IF(INDEX('Прайс и заказ'!K:K,$J380)="","",INDEX('Прайс и заказ'!K:K,$J380)))</f>
      </c>
      <c r="H380" s="62" t="str">
        <f>IF($J380=0,"",IF(INDEX('Прайс и заказ'!L:L,$J380)="","",INDEX('Прайс и заказ'!L:L,$J380)))</f>
      </c>
      <c r="I380" s="13" t="str">
        <f>IF($J380=0,"",IF(INDEX('Прайс и заказ'!M:M,$J380)="","",INDEX('Прайс и заказ'!M:M,$J380)))</f>
      </c>
      <c r="J380" t="str">
        <f>IFERROR(MATCH(372,'Прайс и заказ'!$N$7:$N$781,0)+6,0)</f>
      </c>
    </row>
    <row r="381" spans="1:11" customHeight="1" ht="40">
      <c r="A381" s="13" t="str">
        <f>IF($J381=0,"",IFERROR(_xlfn.IMAGE(INDEX('Прайс и заказ'!$O:$O,$J381)),""))</f>
      </c>
      <c r="B381" s="61" t="str">
        <f>IF($J381=0,"",IF(INDEX('Прайс и заказ'!B:B,$J381)="","",INDEX('Прайс и заказ'!B:B,$J381)))</f>
      </c>
      <c r="C381" s="64" t="str">
        <f>IF($J381=0,"",IF(INDEX('Прайс и заказ'!C:C,$J381)="","",INDEX('Прайс и заказ'!C:C,$J381)))</f>
      </c>
      <c r="D381" s="64" t="str">
        <f>IF($J381=0,"",IF(INDEX('Прайс и заказ'!D:D,$J381)="","",INDEX('Прайс и заказ'!D:D,$J381)))</f>
      </c>
      <c r="E381" s="61" t="str">
        <f>IF($J381=0,"",IF(INDEX('Прайс и заказ'!F:F,$J381)="","",INDEX('Прайс и заказ'!F:F,$J381)))</f>
      </c>
      <c r="F381" s="62" t="str">
        <f>IF($J381=0,"",IF(INDEX('Прайс и заказ'!I:I,$J381)="","",INDEX('Прайс и заказ'!I:I,$J381)))</f>
      </c>
      <c r="G381" s="63" t="str">
        <f>IF($J381=0,"",IF(INDEX('Прайс и заказ'!K:K,$J381)="","",INDEX('Прайс и заказ'!K:K,$J381)))</f>
      </c>
      <c r="H381" s="62" t="str">
        <f>IF($J381=0,"",IF(INDEX('Прайс и заказ'!L:L,$J381)="","",INDEX('Прайс и заказ'!L:L,$J381)))</f>
      </c>
      <c r="I381" s="13" t="str">
        <f>IF($J381=0,"",IF(INDEX('Прайс и заказ'!M:M,$J381)="","",INDEX('Прайс и заказ'!M:M,$J381)))</f>
      </c>
      <c r="J381" t="str">
        <f>IFERROR(MATCH(373,'Прайс и заказ'!$N$7:$N$781,0)+6,0)</f>
      </c>
    </row>
    <row r="382" spans="1:11" customHeight="1" ht="40">
      <c r="A382" s="13" t="str">
        <f>IF($J382=0,"",IFERROR(_xlfn.IMAGE(INDEX('Прайс и заказ'!$O:$O,$J382)),""))</f>
      </c>
      <c r="B382" s="61" t="str">
        <f>IF($J382=0,"",IF(INDEX('Прайс и заказ'!B:B,$J382)="","",INDEX('Прайс и заказ'!B:B,$J382)))</f>
      </c>
      <c r="C382" s="64" t="str">
        <f>IF($J382=0,"",IF(INDEX('Прайс и заказ'!C:C,$J382)="","",INDEX('Прайс и заказ'!C:C,$J382)))</f>
      </c>
      <c r="D382" s="64" t="str">
        <f>IF($J382=0,"",IF(INDEX('Прайс и заказ'!D:D,$J382)="","",INDEX('Прайс и заказ'!D:D,$J382)))</f>
      </c>
      <c r="E382" s="61" t="str">
        <f>IF($J382=0,"",IF(INDEX('Прайс и заказ'!F:F,$J382)="","",INDEX('Прайс и заказ'!F:F,$J382)))</f>
      </c>
      <c r="F382" s="62" t="str">
        <f>IF($J382=0,"",IF(INDEX('Прайс и заказ'!I:I,$J382)="","",INDEX('Прайс и заказ'!I:I,$J382)))</f>
      </c>
      <c r="G382" s="63" t="str">
        <f>IF($J382=0,"",IF(INDEX('Прайс и заказ'!K:K,$J382)="","",INDEX('Прайс и заказ'!K:K,$J382)))</f>
      </c>
      <c r="H382" s="62" t="str">
        <f>IF($J382=0,"",IF(INDEX('Прайс и заказ'!L:L,$J382)="","",INDEX('Прайс и заказ'!L:L,$J382)))</f>
      </c>
      <c r="I382" s="13" t="str">
        <f>IF($J382=0,"",IF(INDEX('Прайс и заказ'!M:M,$J382)="","",INDEX('Прайс и заказ'!M:M,$J382)))</f>
      </c>
      <c r="J382" t="str">
        <f>IFERROR(MATCH(374,'Прайс и заказ'!$N$7:$N$781,0)+6,0)</f>
      </c>
    </row>
    <row r="383" spans="1:11" customHeight="1" ht="40">
      <c r="A383" s="13" t="str">
        <f>IF($J383=0,"",IFERROR(_xlfn.IMAGE(INDEX('Прайс и заказ'!$O:$O,$J383)),""))</f>
      </c>
      <c r="B383" s="61" t="str">
        <f>IF($J383=0,"",IF(INDEX('Прайс и заказ'!B:B,$J383)="","",INDEX('Прайс и заказ'!B:B,$J383)))</f>
      </c>
      <c r="C383" s="64" t="str">
        <f>IF($J383=0,"",IF(INDEX('Прайс и заказ'!C:C,$J383)="","",INDEX('Прайс и заказ'!C:C,$J383)))</f>
      </c>
      <c r="D383" s="64" t="str">
        <f>IF($J383=0,"",IF(INDEX('Прайс и заказ'!D:D,$J383)="","",INDEX('Прайс и заказ'!D:D,$J383)))</f>
      </c>
      <c r="E383" s="61" t="str">
        <f>IF($J383=0,"",IF(INDEX('Прайс и заказ'!F:F,$J383)="","",INDEX('Прайс и заказ'!F:F,$J383)))</f>
      </c>
      <c r="F383" s="62" t="str">
        <f>IF($J383=0,"",IF(INDEX('Прайс и заказ'!I:I,$J383)="","",INDEX('Прайс и заказ'!I:I,$J383)))</f>
      </c>
      <c r="G383" s="63" t="str">
        <f>IF($J383=0,"",IF(INDEX('Прайс и заказ'!K:K,$J383)="","",INDEX('Прайс и заказ'!K:K,$J383)))</f>
      </c>
      <c r="H383" s="62" t="str">
        <f>IF($J383=0,"",IF(INDEX('Прайс и заказ'!L:L,$J383)="","",INDEX('Прайс и заказ'!L:L,$J383)))</f>
      </c>
      <c r="I383" s="13" t="str">
        <f>IF($J383=0,"",IF(INDEX('Прайс и заказ'!M:M,$J383)="","",INDEX('Прайс и заказ'!M:M,$J383)))</f>
      </c>
      <c r="J383" t="str">
        <f>IFERROR(MATCH(375,'Прайс и заказ'!$N$7:$N$781,0)+6,0)</f>
      </c>
    </row>
    <row r="384" spans="1:11" customHeight="1" ht="40">
      <c r="A384" s="13" t="str">
        <f>IF($J384=0,"",IFERROR(_xlfn.IMAGE(INDEX('Прайс и заказ'!$O:$O,$J384)),""))</f>
      </c>
      <c r="B384" s="61" t="str">
        <f>IF($J384=0,"",IF(INDEX('Прайс и заказ'!B:B,$J384)="","",INDEX('Прайс и заказ'!B:B,$J384)))</f>
      </c>
      <c r="C384" s="64" t="str">
        <f>IF($J384=0,"",IF(INDEX('Прайс и заказ'!C:C,$J384)="","",INDEX('Прайс и заказ'!C:C,$J384)))</f>
      </c>
      <c r="D384" s="64" t="str">
        <f>IF($J384=0,"",IF(INDEX('Прайс и заказ'!D:D,$J384)="","",INDEX('Прайс и заказ'!D:D,$J384)))</f>
      </c>
      <c r="E384" s="61" t="str">
        <f>IF($J384=0,"",IF(INDEX('Прайс и заказ'!F:F,$J384)="","",INDEX('Прайс и заказ'!F:F,$J384)))</f>
      </c>
      <c r="F384" s="62" t="str">
        <f>IF($J384=0,"",IF(INDEX('Прайс и заказ'!I:I,$J384)="","",INDEX('Прайс и заказ'!I:I,$J384)))</f>
      </c>
      <c r="G384" s="63" t="str">
        <f>IF($J384=0,"",IF(INDEX('Прайс и заказ'!K:K,$J384)="","",INDEX('Прайс и заказ'!K:K,$J384)))</f>
      </c>
      <c r="H384" s="62" t="str">
        <f>IF($J384=0,"",IF(INDEX('Прайс и заказ'!L:L,$J384)="","",INDEX('Прайс и заказ'!L:L,$J384)))</f>
      </c>
      <c r="I384" s="13" t="str">
        <f>IF($J384=0,"",IF(INDEX('Прайс и заказ'!M:M,$J384)="","",INDEX('Прайс и заказ'!M:M,$J384)))</f>
      </c>
      <c r="J384" t="str">
        <f>IFERROR(MATCH(376,'Прайс и заказ'!$N$7:$N$781,0)+6,0)</f>
      </c>
    </row>
    <row r="385" spans="1:11" customHeight="1" ht="40">
      <c r="A385" s="13" t="str">
        <f>IF($J385=0,"",IFERROR(_xlfn.IMAGE(INDEX('Прайс и заказ'!$O:$O,$J385)),""))</f>
      </c>
      <c r="B385" s="61" t="str">
        <f>IF($J385=0,"",IF(INDEX('Прайс и заказ'!B:B,$J385)="","",INDEX('Прайс и заказ'!B:B,$J385)))</f>
      </c>
      <c r="C385" s="64" t="str">
        <f>IF($J385=0,"",IF(INDEX('Прайс и заказ'!C:C,$J385)="","",INDEX('Прайс и заказ'!C:C,$J385)))</f>
      </c>
      <c r="D385" s="64" t="str">
        <f>IF($J385=0,"",IF(INDEX('Прайс и заказ'!D:D,$J385)="","",INDEX('Прайс и заказ'!D:D,$J385)))</f>
      </c>
      <c r="E385" s="61" t="str">
        <f>IF($J385=0,"",IF(INDEX('Прайс и заказ'!F:F,$J385)="","",INDEX('Прайс и заказ'!F:F,$J385)))</f>
      </c>
      <c r="F385" s="62" t="str">
        <f>IF($J385=0,"",IF(INDEX('Прайс и заказ'!I:I,$J385)="","",INDEX('Прайс и заказ'!I:I,$J385)))</f>
      </c>
      <c r="G385" s="63" t="str">
        <f>IF($J385=0,"",IF(INDEX('Прайс и заказ'!K:K,$J385)="","",INDEX('Прайс и заказ'!K:K,$J385)))</f>
      </c>
      <c r="H385" s="62" t="str">
        <f>IF($J385=0,"",IF(INDEX('Прайс и заказ'!L:L,$J385)="","",INDEX('Прайс и заказ'!L:L,$J385)))</f>
      </c>
      <c r="I385" s="13" t="str">
        <f>IF($J385=0,"",IF(INDEX('Прайс и заказ'!M:M,$J385)="","",INDEX('Прайс и заказ'!M:M,$J385)))</f>
      </c>
      <c r="J385" t="str">
        <f>IFERROR(MATCH(377,'Прайс и заказ'!$N$7:$N$781,0)+6,0)</f>
      </c>
    </row>
    <row r="386" spans="1:11" customHeight="1" ht="40">
      <c r="A386" s="13" t="str">
        <f>IF($J386=0,"",IFERROR(_xlfn.IMAGE(INDEX('Прайс и заказ'!$O:$O,$J386)),""))</f>
      </c>
      <c r="B386" s="61" t="str">
        <f>IF($J386=0,"",IF(INDEX('Прайс и заказ'!B:B,$J386)="","",INDEX('Прайс и заказ'!B:B,$J386)))</f>
      </c>
      <c r="C386" s="64" t="str">
        <f>IF($J386=0,"",IF(INDEX('Прайс и заказ'!C:C,$J386)="","",INDEX('Прайс и заказ'!C:C,$J386)))</f>
      </c>
      <c r="D386" s="64" t="str">
        <f>IF($J386=0,"",IF(INDEX('Прайс и заказ'!D:D,$J386)="","",INDEX('Прайс и заказ'!D:D,$J386)))</f>
      </c>
      <c r="E386" s="61" t="str">
        <f>IF($J386=0,"",IF(INDEX('Прайс и заказ'!F:F,$J386)="","",INDEX('Прайс и заказ'!F:F,$J386)))</f>
      </c>
      <c r="F386" s="62" t="str">
        <f>IF($J386=0,"",IF(INDEX('Прайс и заказ'!I:I,$J386)="","",INDEX('Прайс и заказ'!I:I,$J386)))</f>
      </c>
      <c r="G386" s="63" t="str">
        <f>IF($J386=0,"",IF(INDEX('Прайс и заказ'!K:K,$J386)="","",INDEX('Прайс и заказ'!K:K,$J386)))</f>
      </c>
      <c r="H386" s="62" t="str">
        <f>IF($J386=0,"",IF(INDEX('Прайс и заказ'!L:L,$J386)="","",INDEX('Прайс и заказ'!L:L,$J386)))</f>
      </c>
      <c r="I386" s="13" t="str">
        <f>IF($J386=0,"",IF(INDEX('Прайс и заказ'!M:M,$J386)="","",INDEX('Прайс и заказ'!M:M,$J386)))</f>
      </c>
      <c r="J386" t="str">
        <f>IFERROR(MATCH(378,'Прайс и заказ'!$N$7:$N$781,0)+6,0)</f>
      </c>
    </row>
    <row r="387" spans="1:11" customHeight="1" ht="40">
      <c r="A387" s="13" t="str">
        <f>IF($J387=0,"",IFERROR(_xlfn.IMAGE(INDEX('Прайс и заказ'!$O:$O,$J387)),""))</f>
      </c>
      <c r="B387" s="61" t="str">
        <f>IF($J387=0,"",IF(INDEX('Прайс и заказ'!B:B,$J387)="","",INDEX('Прайс и заказ'!B:B,$J387)))</f>
      </c>
      <c r="C387" s="64" t="str">
        <f>IF($J387=0,"",IF(INDEX('Прайс и заказ'!C:C,$J387)="","",INDEX('Прайс и заказ'!C:C,$J387)))</f>
      </c>
      <c r="D387" s="64" t="str">
        <f>IF($J387=0,"",IF(INDEX('Прайс и заказ'!D:D,$J387)="","",INDEX('Прайс и заказ'!D:D,$J387)))</f>
      </c>
      <c r="E387" s="61" t="str">
        <f>IF($J387=0,"",IF(INDEX('Прайс и заказ'!F:F,$J387)="","",INDEX('Прайс и заказ'!F:F,$J387)))</f>
      </c>
      <c r="F387" s="62" t="str">
        <f>IF($J387=0,"",IF(INDEX('Прайс и заказ'!I:I,$J387)="","",INDEX('Прайс и заказ'!I:I,$J387)))</f>
      </c>
      <c r="G387" s="63" t="str">
        <f>IF($J387=0,"",IF(INDEX('Прайс и заказ'!K:K,$J387)="","",INDEX('Прайс и заказ'!K:K,$J387)))</f>
      </c>
      <c r="H387" s="62" t="str">
        <f>IF($J387=0,"",IF(INDEX('Прайс и заказ'!L:L,$J387)="","",INDEX('Прайс и заказ'!L:L,$J387)))</f>
      </c>
      <c r="I387" s="13" t="str">
        <f>IF($J387=0,"",IF(INDEX('Прайс и заказ'!M:M,$J387)="","",INDEX('Прайс и заказ'!M:M,$J387)))</f>
      </c>
      <c r="J387" t="str">
        <f>IFERROR(MATCH(379,'Прайс и заказ'!$N$7:$N$781,0)+6,0)</f>
      </c>
    </row>
    <row r="388" spans="1:11" customHeight="1" ht="40">
      <c r="A388" s="13" t="str">
        <f>IF($J388=0,"",IFERROR(_xlfn.IMAGE(INDEX('Прайс и заказ'!$O:$O,$J388)),""))</f>
      </c>
      <c r="B388" s="61" t="str">
        <f>IF($J388=0,"",IF(INDEX('Прайс и заказ'!B:B,$J388)="","",INDEX('Прайс и заказ'!B:B,$J388)))</f>
      </c>
      <c r="C388" s="64" t="str">
        <f>IF($J388=0,"",IF(INDEX('Прайс и заказ'!C:C,$J388)="","",INDEX('Прайс и заказ'!C:C,$J388)))</f>
      </c>
      <c r="D388" s="64" t="str">
        <f>IF($J388=0,"",IF(INDEX('Прайс и заказ'!D:D,$J388)="","",INDEX('Прайс и заказ'!D:D,$J388)))</f>
      </c>
      <c r="E388" s="61" t="str">
        <f>IF($J388=0,"",IF(INDEX('Прайс и заказ'!F:F,$J388)="","",INDEX('Прайс и заказ'!F:F,$J388)))</f>
      </c>
      <c r="F388" s="62" t="str">
        <f>IF($J388=0,"",IF(INDEX('Прайс и заказ'!I:I,$J388)="","",INDEX('Прайс и заказ'!I:I,$J388)))</f>
      </c>
      <c r="G388" s="63" t="str">
        <f>IF($J388=0,"",IF(INDEX('Прайс и заказ'!K:K,$J388)="","",INDEX('Прайс и заказ'!K:K,$J388)))</f>
      </c>
      <c r="H388" s="62" t="str">
        <f>IF($J388=0,"",IF(INDEX('Прайс и заказ'!L:L,$J388)="","",INDEX('Прайс и заказ'!L:L,$J388)))</f>
      </c>
      <c r="I388" s="13" t="str">
        <f>IF($J388=0,"",IF(INDEX('Прайс и заказ'!M:M,$J388)="","",INDEX('Прайс и заказ'!M:M,$J388)))</f>
      </c>
      <c r="J388" t="str">
        <f>IFERROR(MATCH(380,'Прайс и заказ'!$N$7:$N$781,0)+6,0)</f>
      </c>
    </row>
    <row r="389" spans="1:11" customHeight="1" ht="40">
      <c r="A389" s="13" t="str">
        <f>IF($J389=0,"",IFERROR(_xlfn.IMAGE(INDEX('Прайс и заказ'!$O:$O,$J389)),""))</f>
      </c>
      <c r="B389" s="61" t="str">
        <f>IF($J389=0,"",IF(INDEX('Прайс и заказ'!B:B,$J389)="","",INDEX('Прайс и заказ'!B:B,$J389)))</f>
      </c>
      <c r="C389" s="64" t="str">
        <f>IF($J389=0,"",IF(INDEX('Прайс и заказ'!C:C,$J389)="","",INDEX('Прайс и заказ'!C:C,$J389)))</f>
      </c>
      <c r="D389" s="64" t="str">
        <f>IF($J389=0,"",IF(INDEX('Прайс и заказ'!D:D,$J389)="","",INDEX('Прайс и заказ'!D:D,$J389)))</f>
      </c>
      <c r="E389" s="61" t="str">
        <f>IF($J389=0,"",IF(INDEX('Прайс и заказ'!F:F,$J389)="","",INDEX('Прайс и заказ'!F:F,$J389)))</f>
      </c>
      <c r="F389" s="62" t="str">
        <f>IF($J389=0,"",IF(INDEX('Прайс и заказ'!I:I,$J389)="","",INDEX('Прайс и заказ'!I:I,$J389)))</f>
      </c>
      <c r="G389" s="63" t="str">
        <f>IF($J389=0,"",IF(INDEX('Прайс и заказ'!K:K,$J389)="","",INDEX('Прайс и заказ'!K:K,$J389)))</f>
      </c>
      <c r="H389" s="62" t="str">
        <f>IF($J389=0,"",IF(INDEX('Прайс и заказ'!L:L,$J389)="","",INDEX('Прайс и заказ'!L:L,$J389)))</f>
      </c>
      <c r="I389" s="13" t="str">
        <f>IF($J389=0,"",IF(INDEX('Прайс и заказ'!M:M,$J389)="","",INDEX('Прайс и заказ'!M:M,$J389)))</f>
      </c>
      <c r="J389" t="str">
        <f>IFERROR(MATCH(381,'Прайс и заказ'!$N$7:$N$781,0)+6,0)</f>
      </c>
    </row>
    <row r="390" spans="1:11" customHeight="1" ht="40">
      <c r="A390" s="13" t="str">
        <f>IF($J390=0,"",IFERROR(_xlfn.IMAGE(INDEX('Прайс и заказ'!$O:$O,$J390)),""))</f>
      </c>
      <c r="B390" s="61" t="str">
        <f>IF($J390=0,"",IF(INDEX('Прайс и заказ'!B:B,$J390)="","",INDEX('Прайс и заказ'!B:B,$J390)))</f>
      </c>
      <c r="C390" s="64" t="str">
        <f>IF($J390=0,"",IF(INDEX('Прайс и заказ'!C:C,$J390)="","",INDEX('Прайс и заказ'!C:C,$J390)))</f>
      </c>
      <c r="D390" s="64" t="str">
        <f>IF($J390=0,"",IF(INDEX('Прайс и заказ'!D:D,$J390)="","",INDEX('Прайс и заказ'!D:D,$J390)))</f>
      </c>
      <c r="E390" s="61" t="str">
        <f>IF($J390=0,"",IF(INDEX('Прайс и заказ'!F:F,$J390)="","",INDEX('Прайс и заказ'!F:F,$J390)))</f>
      </c>
      <c r="F390" s="62" t="str">
        <f>IF($J390=0,"",IF(INDEX('Прайс и заказ'!I:I,$J390)="","",INDEX('Прайс и заказ'!I:I,$J390)))</f>
      </c>
      <c r="G390" s="63" t="str">
        <f>IF($J390=0,"",IF(INDEX('Прайс и заказ'!K:K,$J390)="","",INDEX('Прайс и заказ'!K:K,$J390)))</f>
      </c>
      <c r="H390" s="62" t="str">
        <f>IF($J390=0,"",IF(INDEX('Прайс и заказ'!L:L,$J390)="","",INDEX('Прайс и заказ'!L:L,$J390)))</f>
      </c>
      <c r="I390" s="13" t="str">
        <f>IF($J390=0,"",IF(INDEX('Прайс и заказ'!M:M,$J390)="","",INDEX('Прайс и заказ'!M:M,$J390)))</f>
      </c>
      <c r="J390" t="str">
        <f>IFERROR(MATCH(382,'Прайс и заказ'!$N$7:$N$781,0)+6,0)</f>
      </c>
    </row>
    <row r="391" spans="1:11" customHeight="1" ht="40">
      <c r="A391" s="13" t="str">
        <f>IF($J391=0,"",IFERROR(_xlfn.IMAGE(INDEX('Прайс и заказ'!$O:$O,$J391)),""))</f>
      </c>
      <c r="B391" s="61" t="str">
        <f>IF($J391=0,"",IF(INDEX('Прайс и заказ'!B:B,$J391)="","",INDEX('Прайс и заказ'!B:B,$J391)))</f>
      </c>
      <c r="C391" s="64" t="str">
        <f>IF($J391=0,"",IF(INDEX('Прайс и заказ'!C:C,$J391)="","",INDEX('Прайс и заказ'!C:C,$J391)))</f>
      </c>
      <c r="D391" s="64" t="str">
        <f>IF($J391=0,"",IF(INDEX('Прайс и заказ'!D:D,$J391)="","",INDEX('Прайс и заказ'!D:D,$J391)))</f>
      </c>
      <c r="E391" s="61" t="str">
        <f>IF($J391=0,"",IF(INDEX('Прайс и заказ'!F:F,$J391)="","",INDEX('Прайс и заказ'!F:F,$J391)))</f>
      </c>
      <c r="F391" s="62" t="str">
        <f>IF($J391=0,"",IF(INDEX('Прайс и заказ'!I:I,$J391)="","",INDEX('Прайс и заказ'!I:I,$J391)))</f>
      </c>
      <c r="G391" s="63" t="str">
        <f>IF($J391=0,"",IF(INDEX('Прайс и заказ'!K:K,$J391)="","",INDEX('Прайс и заказ'!K:K,$J391)))</f>
      </c>
      <c r="H391" s="62" t="str">
        <f>IF($J391=0,"",IF(INDEX('Прайс и заказ'!L:L,$J391)="","",INDEX('Прайс и заказ'!L:L,$J391)))</f>
      </c>
      <c r="I391" s="13" t="str">
        <f>IF($J391=0,"",IF(INDEX('Прайс и заказ'!M:M,$J391)="","",INDEX('Прайс и заказ'!M:M,$J391)))</f>
      </c>
      <c r="J391" t="str">
        <f>IFERROR(MATCH(383,'Прайс и заказ'!$N$7:$N$781,0)+6,0)</f>
      </c>
    </row>
    <row r="392" spans="1:11" customHeight="1" ht="40">
      <c r="A392" s="13" t="str">
        <f>IF($J392=0,"",IFERROR(_xlfn.IMAGE(INDEX('Прайс и заказ'!$O:$O,$J392)),""))</f>
      </c>
      <c r="B392" s="61" t="str">
        <f>IF($J392=0,"",IF(INDEX('Прайс и заказ'!B:B,$J392)="","",INDEX('Прайс и заказ'!B:B,$J392)))</f>
      </c>
      <c r="C392" s="64" t="str">
        <f>IF($J392=0,"",IF(INDEX('Прайс и заказ'!C:C,$J392)="","",INDEX('Прайс и заказ'!C:C,$J392)))</f>
      </c>
      <c r="D392" s="64" t="str">
        <f>IF($J392=0,"",IF(INDEX('Прайс и заказ'!D:D,$J392)="","",INDEX('Прайс и заказ'!D:D,$J392)))</f>
      </c>
      <c r="E392" s="61" t="str">
        <f>IF($J392=0,"",IF(INDEX('Прайс и заказ'!F:F,$J392)="","",INDEX('Прайс и заказ'!F:F,$J392)))</f>
      </c>
      <c r="F392" s="62" t="str">
        <f>IF($J392=0,"",IF(INDEX('Прайс и заказ'!I:I,$J392)="","",INDEX('Прайс и заказ'!I:I,$J392)))</f>
      </c>
      <c r="G392" s="63" t="str">
        <f>IF($J392=0,"",IF(INDEX('Прайс и заказ'!K:K,$J392)="","",INDEX('Прайс и заказ'!K:K,$J392)))</f>
      </c>
      <c r="H392" s="62" t="str">
        <f>IF($J392=0,"",IF(INDEX('Прайс и заказ'!L:L,$J392)="","",INDEX('Прайс и заказ'!L:L,$J392)))</f>
      </c>
      <c r="I392" s="13" t="str">
        <f>IF($J392=0,"",IF(INDEX('Прайс и заказ'!M:M,$J392)="","",INDEX('Прайс и заказ'!M:M,$J392)))</f>
      </c>
      <c r="J392" t="str">
        <f>IFERROR(MATCH(384,'Прайс и заказ'!$N$7:$N$781,0)+6,0)</f>
      </c>
    </row>
    <row r="393" spans="1:11" customHeight="1" ht="40">
      <c r="A393" s="13" t="str">
        <f>IF($J393=0,"",IFERROR(_xlfn.IMAGE(INDEX('Прайс и заказ'!$O:$O,$J393)),""))</f>
      </c>
      <c r="B393" s="61" t="str">
        <f>IF($J393=0,"",IF(INDEX('Прайс и заказ'!B:B,$J393)="","",INDEX('Прайс и заказ'!B:B,$J393)))</f>
      </c>
      <c r="C393" s="64" t="str">
        <f>IF($J393=0,"",IF(INDEX('Прайс и заказ'!C:C,$J393)="","",INDEX('Прайс и заказ'!C:C,$J393)))</f>
      </c>
      <c r="D393" s="64" t="str">
        <f>IF($J393=0,"",IF(INDEX('Прайс и заказ'!D:D,$J393)="","",INDEX('Прайс и заказ'!D:D,$J393)))</f>
      </c>
      <c r="E393" s="61" t="str">
        <f>IF($J393=0,"",IF(INDEX('Прайс и заказ'!F:F,$J393)="","",INDEX('Прайс и заказ'!F:F,$J393)))</f>
      </c>
      <c r="F393" s="62" t="str">
        <f>IF($J393=0,"",IF(INDEX('Прайс и заказ'!I:I,$J393)="","",INDEX('Прайс и заказ'!I:I,$J393)))</f>
      </c>
      <c r="G393" s="63" t="str">
        <f>IF($J393=0,"",IF(INDEX('Прайс и заказ'!K:K,$J393)="","",INDEX('Прайс и заказ'!K:K,$J393)))</f>
      </c>
      <c r="H393" s="62" t="str">
        <f>IF($J393=0,"",IF(INDEX('Прайс и заказ'!L:L,$J393)="","",INDEX('Прайс и заказ'!L:L,$J393)))</f>
      </c>
      <c r="I393" s="13" t="str">
        <f>IF($J393=0,"",IF(INDEX('Прайс и заказ'!M:M,$J393)="","",INDEX('Прайс и заказ'!M:M,$J393)))</f>
      </c>
      <c r="J393" t="str">
        <f>IFERROR(MATCH(385,'Прайс и заказ'!$N$7:$N$781,0)+6,0)</f>
      </c>
    </row>
    <row r="394" spans="1:11" customHeight="1" ht="40">
      <c r="A394" s="13" t="str">
        <f>IF($J394=0,"",IFERROR(_xlfn.IMAGE(INDEX('Прайс и заказ'!$O:$O,$J394)),""))</f>
      </c>
      <c r="B394" s="61" t="str">
        <f>IF($J394=0,"",IF(INDEX('Прайс и заказ'!B:B,$J394)="","",INDEX('Прайс и заказ'!B:B,$J394)))</f>
      </c>
      <c r="C394" s="64" t="str">
        <f>IF($J394=0,"",IF(INDEX('Прайс и заказ'!C:C,$J394)="","",INDEX('Прайс и заказ'!C:C,$J394)))</f>
      </c>
      <c r="D394" s="64" t="str">
        <f>IF($J394=0,"",IF(INDEX('Прайс и заказ'!D:D,$J394)="","",INDEX('Прайс и заказ'!D:D,$J394)))</f>
      </c>
      <c r="E394" s="61" t="str">
        <f>IF($J394=0,"",IF(INDEX('Прайс и заказ'!F:F,$J394)="","",INDEX('Прайс и заказ'!F:F,$J394)))</f>
      </c>
      <c r="F394" s="62" t="str">
        <f>IF($J394=0,"",IF(INDEX('Прайс и заказ'!I:I,$J394)="","",INDEX('Прайс и заказ'!I:I,$J394)))</f>
      </c>
      <c r="G394" s="63" t="str">
        <f>IF($J394=0,"",IF(INDEX('Прайс и заказ'!K:K,$J394)="","",INDEX('Прайс и заказ'!K:K,$J394)))</f>
      </c>
      <c r="H394" s="62" t="str">
        <f>IF($J394=0,"",IF(INDEX('Прайс и заказ'!L:L,$J394)="","",INDEX('Прайс и заказ'!L:L,$J394)))</f>
      </c>
      <c r="I394" s="13" t="str">
        <f>IF($J394=0,"",IF(INDEX('Прайс и заказ'!M:M,$J394)="","",INDEX('Прайс и заказ'!M:M,$J394)))</f>
      </c>
      <c r="J394" t="str">
        <f>IFERROR(MATCH(386,'Прайс и заказ'!$N$7:$N$781,0)+6,0)</f>
      </c>
    </row>
    <row r="395" spans="1:11" customHeight="1" ht="40">
      <c r="A395" s="13" t="str">
        <f>IF($J395=0,"",IFERROR(_xlfn.IMAGE(INDEX('Прайс и заказ'!$O:$O,$J395)),""))</f>
      </c>
      <c r="B395" s="61" t="str">
        <f>IF($J395=0,"",IF(INDEX('Прайс и заказ'!B:B,$J395)="","",INDEX('Прайс и заказ'!B:B,$J395)))</f>
      </c>
      <c r="C395" s="64" t="str">
        <f>IF($J395=0,"",IF(INDEX('Прайс и заказ'!C:C,$J395)="","",INDEX('Прайс и заказ'!C:C,$J395)))</f>
      </c>
      <c r="D395" s="64" t="str">
        <f>IF($J395=0,"",IF(INDEX('Прайс и заказ'!D:D,$J395)="","",INDEX('Прайс и заказ'!D:D,$J395)))</f>
      </c>
      <c r="E395" s="61" t="str">
        <f>IF($J395=0,"",IF(INDEX('Прайс и заказ'!F:F,$J395)="","",INDEX('Прайс и заказ'!F:F,$J395)))</f>
      </c>
      <c r="F395" s="62" t="str">
        <f>IF($J395=0,"",IF(INDEX('Прайс и заказ'!I:I,$J395)="","",INDEX('Прайс и заказ'!I:I,$J395)))</f>
      </c>
      <c r="G395" s="63" t="str">
        <f>IF($J395=0,"",IF(INDEX('Прайс и заказ'!K:K,$J395)="","",INDEX('Прайс и заказ'!K:K,$J395)))</f>
      </c>
      <c r="H395" s="62" t="str">
        <f>IF($J395=0,"",IF(INDEX('Прайс и заказ'!L:L,$J395)="","",INDEX('Прайс и заказ'!L:L,$J395)))</f>
      </c>
      <c r="I395" s="13" t="str">
        <f>IF($J395=0,"",IF(INDEX('Прайс и заказ'!M:M,$J395)="","",INDEX('Прайс и заказ'!M:M,$J395)))</f>
      </c>
      <c r="J395" t="str">
        <f>IFERROR(MATCH(387,'Прайс и заказ'!$N$7:$N$781,0)+6,0)</f>
      </c>
    </row>
    <row r="396" spans="1:11" customHeight="1" ht="40">
      <c r="A396" s="13" t="str">
        <f>IF($J396=0,"",IFERROR(_xlfn.IMAGE(INDEX('Прайс и заказ'!$O:$O,$J396)),""))</f>
      </c>
      <c r="B396" s="61" t="str">
        <f>IF($J396=0,"",IF(INDEX('Прайс и заказ'!B:B,$J396)="","",INDEX('Прайс и заказ'!B:B,$J396)))</f>
      </c>
      <c r="C396" s="64" t="str">
        <f>IF($J396=0,"",IF(INDEX('Прайс и заказ'!C:C,$J396)="","",INDEX('Прайс и заказ'!C:C,$J396)))</f>
      </c>
      <c r="D396" s="64" t="str">
        <f>IF($J396=0,"",IF(INDEX('Прайс и заказ'!D:D,$J396)="","",INDEX('Прайс и заказ'!D:D,$J396)))</f>
      </c>
      <c r="E396" s="61" t="str">
        <f>IF($J396=0,"",IF(INDEX('Прайс и заказ'!F:F,$J396)="","",INDEX('Прайс и заказ'!F:F,$J396)))</f>
      </c>
      <c r="F396" s="62" t="str">
        <f>IF($J396=0,"",IF(INDEX('Прайс и заказ'!I:I,$J396)="","",INDEX('Прайс и заказ'!I:I,$J396)))</f>
      </c>
      <c r="G396" s="63" t="str">
        <f>IF($J396=0,"",IF(INDEX('Прайс и заказ'!K:K,$J396)="","",INDEX('Прайс и заказ'!K:K,$J396)))</f>
      </c>
      <c r="H396" s="62" t="str">
        <f>IF($J396=0,"",IF(INDEX('Прайс и заказ'!L:L,$J396)="","",INDEX('Прайс и заказ'!L:L,$J396)))</f>
      </c>
      <c r="I396" s="13" t="str">
        <f>IF($J396=0,"",IF(INDEX('Прайс и заказ'!M:M,$J396)="","",INDEX('Прайс и заказ'!M:M,$J396)))</f>
      </c>
      <c r="J396" t="str">
        <f>IFERROR(MATCH(388,'Прайс и заказ'!$N$7:$N$781,0)+6,0)</f>
      </c>
    </row>
    <row r="397" spans="1:11" customHeight="1" ht="40">
      <c r="A397" s="13" t="str">
        <f>IF($J397=0,"",IFERROR(_xlfn.IMAGE(INDEX('Прайс и заказ'!$O:$O,$J397)),""))</f>
      </c>
      <c r="B397" s="61" t="str">
        <f>IF($J397=0,"",IF(INDEX('Прайс и заказ'!B:B,$J397)="","",INDEX('Прайс и заказ'!B:B,$J397)))</f>
      </c>
      <c r="C397" s="64" t="str">
        <f>IF($J397=0,"",IF(INDEX('Прайс и заказ'!C:C,$J397)="","",INDEX('Прайс и заказ'!C:C,$J397)))</f>
      </c>
      <c r="D397" s="64" t="str">
        <f>IF($J397=0,"",IF(INDEX('Прайс и заказ'!D:D,$J397)="","",INDEX('Прайс и заказ'!D:D,$J397)))</f>
      </c>
      <c r="E397" s="61" t="str">
        <f>IF($J397=0,"",IF(INDEX('Прайс и заказ'!F:F,$J397)="","",INDEX('Прайс и заказ'!F:F,$J397)))</f>
      </c>
      <c r="F397" s="62" t="str">
        <f>IF($J397=0,"",IF(INDEX('Прайс и заказ'!I:I,$J397)="","",INDEX('Прайс и заказ'!I:I,$J397)))</f>
      </c>
      <c r="G397" s="63" t="str">
        <f>IF($J397=0,"",IF(INDEX('Прайс и заказ'!K:K,$J397)="","",INDEX('Прайс и заказ'!K:K,$J397)))</f>
      </c>
      <c r="H397" s="62" t="str">
        <f>IF($J397=0,"",IF(INDEX('Прайс и заказ'!L:L,$J397)="","",INDEX('Прайс и заказ'!L:L,$J397)))</f>
      </c>
      <c r="I397" s="13" t="str">
        <f>IF($J397=0,"",IF(INDEX('Прайс и заказ'!M:M,$J397)="","",INDEX('Прайс и заказ'!M:M,$J397)))</f>
      </c>
      <c r="J397" t="str">
        <f>IFERROR(MATCH(389,'Прайс и заказ'!$N$7:$N$781,0)+6,0)</f>
      </c>
    </row>
    <row r="398" spans="1:11" customHeight="1" ht="40">
      <c r="A398" s="13" t="str">
        <f>IF($J398=0,"",IFERROR(_xlfn.IMAGE(INDEX('Прайс и заказ'!$O:$O,$J398)),""))</f>
      </c>
      <c r="B398" s="61" t="str">
        <f>IF($J398=0,"",IF(INDEX('Прайс и заказ'!B:B,$J398)="","",INDEX('Прайс и заказ'!B:B,$J398)))</f>
      </c>
      <c r="C398" s="64" t="str">
        <f>IF($J398=0,"",IF(INDEX('Прайс и заказ'!C:C,$J398)="","",INDEX('Прайс и заказ'!C:C,$J398)))</f>
      </c>
      <c r="D398" s="64" t="str">
        <f>IF($J398=0,"",IF(INDEX('Прайс и заказ'!D:D,$J398)="","",INDEX('Прайс и заказ'!D:D,$J398)))</f>
      </c>
      <c r="E398" s="61" t="str">
        <f>IF($J398=0,"",IF(INDEX('Прайс и заказ'!F:F,$J398)="","",INDEX('Прайс и заказ'!F:F,$J398)))</f>
      </c>
      <c r="F398" s="62" t="str">
        <f>IF($J398=0,"",IF(INDEX('Прайс и заказ'!I:I,$J398)="","",INDEX('Прайс и заказ'!I:I,$J398)))</f>
      </c>
      <c r="G398" s="63" t="str">
        <f>IF($J398=0,"",IF(INDEX('Прайс и заказ'!K:K,$J398)="","",INDEX('Прайс и заказ'!K:K,$J398)))</f>
      </c>
      <c r="H398" s="62" t="str">
        <f>IF($J398=0,"",IF(INDEX('Прайс и заказ'!L:L,$J398)="","",INDEX('Прайс и заказ'!L:L,$J398)))</f>
      </c>
      <c r="I398" s="13" t="str">
        <f>IF($J398=0,"",IF(INDEX('Прайс и заказ'!M:M,$J398)="","",INDEX('Прайс и заказ'!M:M,$J398)))</f>
      </c>
      <c r="J398" t="str">
        <f>IFERROR(MATCH(390,'Прайс и заказ'!$N$7:$N$781,0)+6,0)</f>
      </c>
    </row>
    <row r="399" spans="1:11" customHeight="1" ht="40">
      <c r="A399" s="13" t="str">
        <f>IF($J399=0,"",IFERROR(_xlfn.IMAGE(INDEX('Прайс и заказ'!$O:$O,$J399)),""))</f>
      </c>
      <c r="B399" s="61" t="str">
        <f>IF($J399=0,"",IF(INDEX('Прайс и заказ'!B:B,$J399)="","",INDEX('Прайс и заказ'!B:B,$J399)))</f>
      </c>
      <c r="C399" s="64" t="str">
        <f>IF($J399=0,"",IF(INDEX('Прайс и заказ'!C:C,$J399)="","",INDEX('Прайс и заказ'!C:C,$J399)))</f>
      </c>
      <c r="D399" s="64" t="str">
        <f>IF($J399=0,"",IF(INDEX('Прайс и заказ'!D:D,$J399)="","",INDEX('Прайс и заказ'!D:D,$J399)))</f>
      </c>
      <c r="E399" s="61" t="str">
        <f>IF($J399=0,"",IF(INDEX('Прайс и заказ'!F:F,$J399)="","",INDEX('Прайс и заказ'!F:F,$J399)))</f>
      </c>
      <c r="F399" s="62" t="str">
        <f>IF($J399=0,"",IF(INDEX('Прайс и заказ'!I:I,$J399)="","",INDEX('Прайс и заказ'!I:I,$J399)))</f>
      </c>
      <c r="G399" s="63" t="str">
        <f>IF($J399=0,"",IF(INDEX('Прайс и заказ'!K:K,$J399)="","",INDEX('Прайс и заказ'!K:K,$J399)))</f>
      </c>
      <c r="H399" s="62" t="str">
        <f>IF($J399=0,"",IF(INDEX('Прайс и заказ'!L:L,$J399)="","",INDEX('Прайс и заказ'!L:L,$J399)))</f>
      </c>
      <c r="I399" s="13" t="str">
        <f>IF($J399=0,"",IF(INDEX('Прайс и заказ'!M:M,$J399)="","",INDEX('Прайс и заказ'!M:M,$J399)))</f>
      </c>
      <c r="J399" t="str">
        <f>IFERROR(MATCH(391,'Прайс и заказ'!$N$7:$N$781,0)+6,0)</f>
      </c>
    </row>
    <row r="400" spans="1:11" customHeight="1" ht="40">
      <c r="A400" s="13" t="str">
        <f>IF($J400=0,"",IFERROR(_xlfn.IMAGE(INDEX('Прайс и заказ'!$O:$O,$J400)),""))</f>
      </c>
      <c r="B400" s="61" t="str">
        <f>IF($J400=0,"",IF(INDEX('Прайс и заказ'!B:B,$J400)="","",INDEX('Прайс и заказ'!B:B,$J400)))</f>
      </c>
      <c r="C400" s="64" t="str">
        <f>IF($J400=0,"",IF(INDEX('Прайс и заказ'!C:C,$J400)="","",INDEX('Прайс и заказ'!C:C,$J400)))</f>
      </c>
      <c r="D400" s="64" t="str">
        <f>IF($J400=0,"",IF(INDEX('Прайс и заказ'!D:D,$J400)="","",INDEX('Прайс и заказ'!D:D,$J400)))</f>
      </c>
      <c r="E400" s="61" t="str">
        <f>IF($J400=0,"",IF(INDEX('Прайс и заказ'!F:F,$J400)="","",INDEX('Прайс и заказ'!F:F,$J400)))</f>
      </c>
      <c r="F400" s="62" t="str">
        <f>IF($J400=0,"",IF(INDEX('Прайс и заказ'!I:I,$J400)="","",INDEX('Прайс и заказ'!I:I,$J400)))</f>
      </c>
      <c r="G400" s="63" t="str">
        <f>IF($J400=0,"",IF(INDEX('Прайс и заказ'!K:K,$J400)="","",INDEX('Прайс и заказ'!K:K,$J400)))</f>
      </c>
      <c r="H400" s="62" t="str">
        <f>IF($J400=0,"",IF(INDEX('Прайс и заказ'!L:L,$J400)="","",INDEX('Прайс и заказ'!L:L,$J400)))</f>
      </c>
      <c r="I400" s="13" t="str">
        <f>IF($J400=0,"",IF(INDEX('Прайс и заказ'!M:M,$J400)="","",INDEX('Прайс и заказ'!M:M,$J400)))</f>
      </c>
      <c r="J400" t="str">
        <f>IFERROR(MATCH(392,'Прайс и заказ'!$N$7:$N$781,0)+6,0)</f>
      </c>
    </row>
    <row r="401" spans="1:11" customHeight="1" ht="40">
      <c r="A401" s="13" t="str">
        <f>IF($J401=0,"",IFERROR(_xlfn.IMAGE(INDEX('Прайс и заказ'!$O:$O,$J401)),""))</f>
      </c>
      <c r="B401" s="61" t="str">
        <f>IF($J401=0,"",IF(INDEX('Прайс и заказ'!B:B,$J401)="","",INDEX('Прайс и заказ'!B:B,$J401)))</f>
      </c>
      <c r="C401" s="64" t="str">
        <f>IF($J401=0,"",IF(INDEX('Прайс и заказ'!C:C,$J401)="","",INDEX('Прайс и заказ'!C:C,$J401)))</f>
      </c>
      <c r="D401" s="64" t="str">
        <f>IF($J401=0,"",IF(INDEX('Прайс и заказ'!D:D,$J401)="","",INDEX('Прайс и заказ'!D:D,$J401)))</f>
      </c>
      <c r="E401" s="61" t="str">
        <f>IF($J401=0,"",IF(INDEX('Прайс и заказ'!F:F,$J401)="","",INDEX('Прайс и заказ'!F:F,$J401)))</f>
      </c>
      <c r="F401" s="62" t="str">
        <f>IF($J401=0,"",IF(INDEX('Прайс и заказ'!I:I,$J401)="","",INDEX('Прайс и заказ'!I:I,$J401)))</f>
      </c>
      <c r="G401" s="63" t="str">
        <f>IF($J401=0,"",IF(INDEX('Прайс и заказ'!K:K,$J401)="","",INDEX('Прайс и заказ'!K:K,$J401)))</f>
      </c>
      <c r="H401" s="62" t="str">
        <f>IF($J401=0,"",IF(INDEX('Прайс и заказ'!L:L,$J401)="","",INDEX('Прайс и заказ'!L:L,$J401)))</f>
      </c>
      <c r="I401" s="13" t="str">
        <f>IF($J401=0,"",IF(INDEX('Прайс и заказ'!M:M,$J401)="","",INDEX('Прайс и заказ'!M:M,$J401)))</f>
      </c>
      <c r="J401" t="str">
        <f>IFERROR(MATCH(393,'Прайс и заказ'!$N$7:$N$781,0)+6,0)</f>
      </c>
    </row>
    <row r="402" spans="1:11" customHeight="1" ht="40">
      <c r="A402" s="13" t="str">
        <f>IF($J402=0,"",IFERROR(_xlfn.IMAGE(INDEX('Прайс и заказ'!$O:$O,$J402)),""))</f>
      </c>
      <c r="B402" s="61" t="str">
        <f>IF($J402=0,"",IF(INDEX('Прайс и заказ'!B:B,$J402)="","",INDEX('Прайс и заказ'!B:B,$J402)))</f>
      </c>
      <c r="C402" s="64" t="str">
        <f>IF($J402=0,"",IF(INDEX('Прайс и заказ'!C:C,$J402)="","",INDEX('Прайс и заказ'!C:C,$J402)))</f>
      </c>
      <c r="D402" s="64" t="str">
        <f>IF($J402=0,"",IF(INDEX('Прайс и заказ'!D:D,$J402)="","",INDEX('Прайс и заказ'!D:D,$J402)))</f>
      </c>
      <c r="E402" s="61" t="str">
        <f>IF($J402=0,"",IF(INDEX('Прайс и заказ'!F:F,$J402)="","",INDEX('Прайс и заказ'!F:F,$J402)))</f>
      </c>
      <c r="F402" s="62" t="str">
        <f>IF($J402=0,"",IF(INDEX('Прайс и заказ'!I:I,$J402)="","",INDEX('Прайс и заказ'!I:I,$J402)))</f>
      </c>
      <c r="G402" s="63" t="str">
        <f>IF($J402=0,"",IF(INDEX('Прайс и заказ'!K:K,$J402)="","",INDEX('Прайс и заказ'!K:K,$J402)))</f>
      </c>
      <c r="H402" s="62" t="str">
        <f>IF($J402=0,"",IF(INDEX('Прайс и заказ'!L:L,$J402)="","",INDEX('Прайс и заказ'!L:L,$J402)))</f>
      </c>
      <c r="I402" s="13" t="str">
        <f>IF($J402=0,"",IF(INDEX('Прайс и заказ'!M:M,$J402)="","",INDEX('Прайс и заказ'!M:M,$J402)))</f>
      </c>
      <c r="J402" t="str">
        <f>IFERROR(MATCH(394,'Прайс и заказ'!$N$7:$N$781,0)+6,0)</f>
      </c>
    </row>
    <row r="403" spans="1:11" customHeight="1" ht="40">
      <c r="A403" s="13" t="str">
        <f>IF($J403=0,"",IFERROR(_xlfn.IMAGE(INDEX('Прайс и заказ'!$O:$O,$J403)),""))</f>
      </c>
      <c r="B403" s="61" t="str">
        <f>IF($J403=0,"",IF(INDEX('Прайс и заказ'!B:B,$J403)="","",INDEX('Прайс и заказ'!B:B,$J403)))</f>
      </c>
      <c r="C403" s="64" t="str">
        <f>IF($J403=0,"",IF(INDEX('Прайс и заказ'!C:C,$J403)="","",INDEX('Прайс и заказ'!C:C,$J403)))</f>
      </c>
      <c r="D403" s="64" t="str">
        <f>IF($J403=0,"",IF(INDEX('Прайс и заказ'!D:D,$J403)="","",INDEX('Прайс и заказ'!D:D,$J403)))</f>
      </c>
      <c r="E403" s="61" t="str">
        <f>IF($J403=0,"",IF(INDEX('Прайс и заказ'!F:F,$J403)="","",INDEX('Прайс и заказ'!F:F,$J403)))</f>
      </c>
      <c r="F403" s="62" t="str">
        <f>IF($J403=0,"",IF(INDEX('Прайс и заказ'!I:I,$J403)="","",INDEX('Прайс и заказ'!I:I,$J403)))</f>
      </c>
      <c r="G403" s="63" t="str">
        <f>IF($J403=0,"",IF(INDEX('Прайс и заказ'!K:K,$J403)="","",INDEX('Прайс и заказ'!K:K,$J403)))</f>
      </c>
      <c r="H403" s="62" t="str">
        <f>IF($J403=0,"",IF(INDEX('Прайс и заказ'!L:L,$J403)="","",INDEX('Прайс и заказ'!L:L,$J403)))</f>
      </c>
      <c r="I403" s="13" t="str">
        <f>IF($J403=0,"",IF(INDEX('Прайс и заказ'!M:M,$J403)="","",INDEX('Прайс и заказ'!M:M,$J403)))</f>
      </c>
      <c r="J403" t="str">
        <f>IFERROR(MATCH(395,'Прайс и заказ'!$N$7:$N$781,0)+6,0)</f>
      </c>
    </row>
    <row r="404" spans="1:11" customHeight="1" ht="40">
      <c r="A404" s="13" t="str">
        <f>IF($J404=0,"",IFERROR(_xlfn.IMAGE(INDEX('Прайс и заказ'!$O:$O,$J404)),""))</f>
      </c>
      <c r="B404" s="61" t="str">
        <f>IF($J404=0,"",IF(INDEX('Прайс и заказ'!B:B,$J404)="","",INDEX('Прайс и заказ'!B:B,$J404)))</f>
      </c>
      <c r="C404" s="64" t="str">
        <f>IF($J404=0,"",IF(INDEX('Прайс и заказ'!C:C,$J404)="","",INDEX('Прайс и заказ'!C:C,$J404)))</f>
      </c>
      <c r="D404" s="64" t="str">
        <f>IF($J404=0,"",IF(INDEX('Прайс и заказ'!D:D,$J404)="","",INDEX('Прайс и заказ'!D:D,$J404)))</f>
      </c>
      <c r="E404" s="61" t="str">
        <f>IF($J404=0,"",IF(INDEX('Прайс и заказ'!F:F,$J404)="","",INDEX('Прайс и заказ'!F:F,$J404)))</f>
      </c>
      <c r="F404" s="62" t="str">
        <f>IF($J404=0,"",IF(INDEX('Прайс и заказ'!I:I,$J404)="","",INDEX('Прайс и заказ'!I:I,$J404)))</f>
      </c>
      <c r="G404" s="63" t="str">
        <f>IF($J404=0,"",IF(INDEX('Прайс и заказ'!K:K,$J404)="","",INDEX('Прайс и заказ'!K:K,$J404)))</f>
      </c>
      <c r="H404" s="62" t="str">
        <f>IF($J404=0,"",IF(INDEX('Прайс и заказ'!L:L,$J404)="","",INDEX('Прайс и заказ'!L:L,$J404)))</f>
      </c>
      <c r="I404" s="13" t="str">
        <f>IF($J404=0,"",IF(INDEX('Прайс и заказ'!M:M,$J404)="","",INDEX('Прайс и заказ'!M:M,$J404)))</f>
      </c>
      <c r="J404" t="str">
        <f>IFERROR(MATCH(396,'Прайс и заказ'!$N$7:$N$781,0)+6,0)</f>
      </c>
    </row>
    <row r="405" spans="1:11" customHeight="1" ht="40">
      <c r="A405" s="13" t="str">
        <f>IF($J405=0,"",IFERROR(_xlfn.IMAGE(INDEX('Прайс и заказ'!$O:$O,$J405)),""))</f>
      </c>
      <c r="B405" s="61" t="str">
        <f>IF($J405=0,"",IF(INDEX('Прайс и заказ'!B:B,$J405)="","",INDEX('Прайс и заказ'!B:B,$J405)))</f>
      </c>
      <c r="C405" s="64" t="str">
        <f>IF($J405=0,"",IF(INDEX('Прайс и заказ'!C:C,$J405)="","",INDEX('Прайс и заказ'!C:C,$J405)))</f>
      </c>
      <c r="D405" s="64" t="str">
        <f>IF($J405=0,"",IF(INDEX('Прайс и заказ'!D:D,$J405)="","",INDEX('Прайс и заказ'!D:D,$J405)))</f>
      </c>
      <c r="E405" s="61" t="str">
        <f>IF($J405=0,"",IF(INDEX('Прайс и заказ'!F:F,$J405)="","",INDEX('Прайс и заказ'!F:F,$J405)))</f>
      </c>
      <c r="F405" s="62" t="str">
        <f>IF($J405=0,"",IF(INDEX('Прайс и заказ'!I:I,$J405)="","",INDEX('Прайс и заказ'!I:I,$J405)))</f>
      </c>
      <c r="G405" s="63" t="str">
        <f>IF($J405=0,"",IF(INDEX('Прайс и заказ'!K:K,$J405)="","",INDEX('Прайс и заказ'!K:K,$J405)))</f>
      </c>
      <c r="H405" s="62" t="str">
        <f>IF($J405=0,"",IF(INDEX('Прайс и заказ'!L:L,$J405)="","",INDEX('Прайс и заказ'!L:L,$J405)))</f>
      </c>
      <c r="I405" s="13" t="str">
        <f>IF($J405=0,"",IF(INDEX('Прайс и заказ'!M:M,$J405)="","",INDEX('Прайс и заказ'!M:M,$J405)))</f>
      </c>
      <c r="J405" t="str">
        <f>IFERROR(MATCH(397,'Прайс и заказ'!$N$7:$N$781,0)+6,0)</f>
      </c>
    </row>
    <row r="406" spans="1:11" customHeight="1" ht="40">
      <c r="A406" s="13" t="str">
        <f>IF($J406=0,"",IFERROR(_xlfn.IMAGE(INDEX('Прайс и заказ'!$O:$O,$J406)),""))</f>
      </c>
      <c r="B406" s="61" t="str">
        <f>IF($J406=0,"",IF(INDEX('Прайс и заказ'!B:B,$J406)="","",INDEX('Прайс и заказ'!B:B,$J406)))</f>
      </c>
      <c r="C406" s="64" t="str">
        <f>IF($J406=0,"",IF(INDEX('Прайс и заказ'!C:C,$J406)="","",INDEX('Прайс и заказ'!C:C,$J406)))</f>
      </c>
      <c r="D406" s="64" t="str">
        <f>IF($J406=0,"",IF(INDEX('Прайс и заказ'!D:D,$J406)="","",INDEX('Прайс и заказ'!D:D,$J406)))</f>
      </c>
      <c r="E406" s="61" t="str">
        <f>IF($J406=0,"",IF(INDEX('Прайс и заказ'!F:F,$J406)="","",INDEX('Прайс и заказ'!F:F,$J406)))</f>
      </c>
      <c r="F406" s="62" t="str">
        <f>IF($J406=0,"",IF(INDEX('Прайс и заказ'!I:I,$J406)="","",INDEX('Прайс и заказ'!I:I,$J406)))</f>
      </c>
      <c r="G406" s="63" t="str">
        <f>IF($J406=0,"",IF(INDEX('Прайс и заказ'!K:K,$J406)="","",INDEX('Прайс и заказ'!K:K,$J406)))</f>
      </c>
      <c r="H406" s="62" t="str">
        <f>IF($J406=0,"",IF(INDEX('Прайс и заказ'!L:L,$J406)="","",INDEX('Прайс и заказ'!L:L,$J406)))</f>
      </c>
      <c r="I406" s="13" t="str">
        <f>IF($J406=0,"",IF(INDEX('Прайс и заказ'!M:M,$J406)="","",INDEX('Прайс и заказ'!M:M,$J406)))</f>
      </c>
      <c r="J406" t="str">
        <f>IFERROR(MATCH(398,'Прайс и заказ'!$N$7:$N$781,0)+6,0)</f>
      </c>
    </row>
    <row r="407" spans="1:11" customHeight="1" ht="40">
      <c r="A407" s="13" t="str">
        <f>IF($J407=0,"",IFERROR(_xlfn.IMAGE(INDEX('Прайс и заказ'!$O:$O,$J407)),""))</f>
      </c>
      <c r="B407" s="61" t="str">
        <f>IF($J407=0,"",IF(INDEX('Прайс и заказ'!B:B,$J407)="","",INDEX('Прайс и заказ'!B:B,$J407)))</f>
      </c>
      <c r="C407" s="64" t="str">
        <f>IF($J407=0,"",IF(INDEX('Прайс и заказ'!C:C,$J407)="","",INDEX('Прайс и заказ'!C:C,$J407)))</f>
      </c>
      <c r="D407" s="64" t="str">
        <f>IF($J407=0,"",IF(INDEX('Прайс и заказ'!D:D,$J407)="","",INDEX('Прайс и заказ'!D:D,$J407)))</f>
      </c>
      <c r="E407" s="61" t="str">
        <f>IF($J407=0,"",IF(INDEX('Прайс и заказ'!F:F,$J407)="","",INDEX('Прайс и заказ'!F:F,$J407)))</f>
      </c>
      <c r="F407" s="62" t="str">
        <f>IF($J407=0,"",IF(INDEX('Прайс и заказ'!I:I,$J407)="","",INDEX('Прайс и заказ'!I:I,$J407)))</f>
      </c>
      <c r="G407" s="63" t="str">
        <f>IF($J407=0,"",IF(INDEX('Прайс и заказ'!K:K,$J407)="","",INDEX('Прайс и заказ'!K:K,$J407)))</f>
      </c>
      <c r="H407" s="62" t="str">
        <f>IF($J407=0,"",IF(INDEX('Прайс и заказ'!L:L,$J407)="","",INDEX('Прайс и заказ'!L:L,$J407)))</f>
      </c>
      <c r="I407" s="13" t="str">
        <f>IF($J407=0,"",IF(INDEX('Прайс и заказ'!M:M,$J407)="","",INDEX('Прайс и заказ'!M:M,$J407)))</f>
      </c>
      <c r="J407" t="str">
        <f>IFERROR(MATCH(399,'Прайс и заказ'!$N$7:$N$781,0)+6,0)</f>
      </c>
    </row>
    <row r="408" spans="1:11" customHeight="1" ht="40">
      <c r="A408" s="13" t="str">
        <f>IF($J408=0,"",IFERROR(_xlfn.IMAGE(INDEX('Прайс и заказ'!$O:$O,$J408)),""))</f>
      </c>
      <c r="B408" s="61" t="str">
        <f>IF($J408=0,"",IF(INDEX('Прайс и заказ'!B:B,$J408)="","",INDEX('Прайс и заказ'!B:B,$J408)))</f>
      </c>
      <c r="C408" s="64" t="str">
        <f>IF($J408=0,"",IF(INDEX('Прайс и заказ'!C:C,$J408)="","",INDEX('Прайс и заказ'!C:C,$J408)))</f>
      </c>
      <c r="D408" s="64" t="str">
        <f>IF($J408=0,"",IF(INDEX('Прайс и заказ'!D:D,$J408)="","",INDEX('Прайс и заказ'!D:D,$J408)))</f>
      </c>
      <c r="E408" s="61" t="str">
        <f>IF($J408=0,"",IF(INDEX('Прайс и заказ'!F:F,$J408)="","",INDEX('Прайс и заказ'!F:F,$J408)))</f>
      </c>
      <c r="F408" s="62" t="str">
        <f>IF($J408=0,"",IF(INDEX('Прайс и заказ'!I:I,$J408)="","",INDEX('Прайс и заказ'!I:I,$J408)))</f>
      </c>
      <c r="G408" s="63" t="str">
        <f>IF($J408=0,"",IF(INDEX('Прайс и заказ'!K:K,$J408)="","",INDEX('Прайс и заказ'!K:K,$J408)))</f>
      </c>
      <c r="H408" s="62" t="str">
        <f>IF($J408=0,"",IF(INDEX('Прайс и заказ'!L:L,$J408)="","",INDEX('Прайс и заказ'!L:L,$J408)))</f>
      </c>
      <c r="I408" s="13" t="str">
        <f>IF($J408=0,"",IF(INDEX('Прайс и заказ'!M:M,$J408)="","",INDEX('Прайс и заказ'!M:M,$J408)))</f>
      </c>
      <c r="J408" t="str">
        <f>IFERROR(MATCH(400,'Прайс и заказ'!$N$7:$N$781,0)+6,0)</f>
      </c>
    </row>
    <row r="409" spans="1:11" customHeight="1" ht="40">
      <c r="A409" s="13" t="str">
        <f>IF($J409=0,"",IFERROR(_xlfn.IMAGE(INDEX('Прайс и заказ'!$O:$O,$J409)),""))</f>
      </c>
      <c r="B409" s="61" t="str">
        <f>IF($J409=0,"",IF(INDEX('Прайс и заказ'!B:B,$J409)="","",INDEX('Прайс и заказ'!B:B,$J409)))</f>
      </c>
      <c r="C409" s="64" t="str">
        <f>IF($J409=0,"",IF(INDEX('Прайс и заказ'!C:C,$J409)="","",INDEX('Прайс и заказ'!C:C,$J409)))</f>
      </c>
      <c r="D409" s="64" t="str">
        <f>IF($J409=0,"",IF(INDEX('Прайс и заказ'!D:D,$J409)="","",INDEX('Прайс и заказ'!D:D,$J409)))</f>
      </c>
      <c r="E409" s="61" t="str">
        <f>IF($J409=0,"",IF(INDEX('Прайс и заказ'!F:F,$J409)="","",INDEX('Прайс и заказ'!F:F,$J409)))</f>
      </c>
      <c r="F409" s="62" t="str">
        <f>IF($J409=0,"",IF(INDEX('Прайс и заказ'!I:I,$J409)="","",INDEX('Прайс и заказ'!I:I,$J409)))</f>
      </c>
      <c r="G409" s="63" t="str">
        <f>IF($J409=0,"",IF(INDEX('Прайс и заказ'!K:K,$J409)="","",INDEX('Прайс и заказ'!K:K,$J409)))</f>
      </c>
      <c r="H409" s="62" t="str">
        <f>IF($J409=0,"",IF(INDEX('Прайс и заказ'!L:L,$J409)="","",INDEX('Прайс и заказ'!L:L,$J409)))</f>
      </c>
      <c r="I409" s="13" t="str">
        <f>IF($J409=0,"",IF(INDEX('Прайс и заказ'!M:M,$J409)="","",INDEX('Прайс и заказ'!M:M,$J409)))</f>
      </c>
      <c r="J409" t="str">
        <f>IFERROR(MATCH(401,'Прайс и заказ'!$N$7:$N$781,0)+6,0)</f>
      </c>
    </row>
    <row r="410" spans="1:11" customHeight="1" ht="40">
      <c r="A410" s="13" t="str">
        <f>IF($J410=0,"",IFERROR(_xlfn.IMAGE(INDEX('Прайс и заказ'!$O:$O,$J410)),""))</f>
      </c>
      <c r="B410" s="61" t="str">
        <f>IF($J410=0,"",IF(INDEX('Прайс и заказ'!B:B,$J410)="","",INDEX('Прайс и заказ'!B:B,$J410)))</f>
      </c>
      <c r="C410" s="64" t="str">
        <f>IF($J410=0,"",IF(INDEX('Прайс и заказ'!C:C,$J410)="","",INDEX('Прайс и заказ'!C:C,$J410)))</f>
      </c>
      <c r="D410" s="64" t="str">
        <f>IF($J410=0,"",IF(INDEX('Прайс и заказ'!D:D,$J410)="","",INDEX('Прайс и заказ'!D:D,$J410)))</f>
      </c>
      <c r="E410" s="61" t="str">
        <f>IF($J410=0,"",IF(INDEX('Прайс и заказ'!F:F,$J410)="","",INDEX('Прайс и заказ'!F:F,$J410)))</f>
      </c>
      <c r="F410" s="62" t="str">
        <f>IF($J410=0,"",IF(INDEX('Прайс и заказ'!I:I,$J410)="","",INDEX('Прайс и заказ'!I:I,$J410)))</f>
      </c>
      <c r="G410" s="63" t="str">
        <f>IF($J410=0,"",IF(INDEX('Прайс и заказ'!K:K,$J410)="","",INDEX('Прайс и заказ'!K:K,$J410)))</f>
      </c>
      <c r="H410" s="62" t="str">
        <f>IF($J410=0,"",IF(INDEX('Прайс и заказ'!L:L,$J410)="","",INDEX('Прайс и заказ'!L:L,$J410)))</f>
      </c>
      <c r="I410" s="13" t="str">
        <f>IF($J410=0,"",IF(INDEX('Прайс и заказ'!M:M,$J410)="","",INDEX('Прайс и заказ'!M:M,$J410)))</f>
      </c>
      <c r="J410" t="str">
        <f>IFERROR(MATCH(402,'Прайс и заказ'!$N$7:$N$781,0)+6,0)</f>
      </c>
    </row>
    <row r="411" spans="1:11" customHeight="1" ht="40">
      <c r="A411" s="13" t="str">
        <f>IF($J411=0,"",IFERROR(_xlfn.IMAGE(INDEX('Прайс и заказ'!$O:$O,$J411)),""))</f>
      </c>
      <c r="B411" s="61" t="str">
        <f>IF($J411=0,"",IF(INDEX('Прайс и заказ'!B:B,$J411)="","",INDEX('Прайс и заказ'!B:B,$J411)))</f>
      </c>
      <c r="C411" s="64" t="str">
        <f>IF($J411=0,"",IF(INDEX('Прайс и заказ'!C:C,$J411)="","",INDEX('Прайс и заказ'!C:C,$J411)))</f>
      </c>
      <c r="D411" s="64" t="str">
        <f>IF($J411=0,"",IF(INDEX('Прайс и заказ'!D:D,$J411)="","",INDEX('Прайс и заказ'!D:D,$J411)))</f>
      </c>
      <c r="E411" s="61" t="str">
        <f>IF($J411=0,"",IF(INDEX('Прайс и заказ'!F:F,$J411)="","",INDEX('Прайс и заказ'!F:F,$J411)))</f>
      </c>
      <c r="F411" s="62" t="str">
        <f>IF($J411=0,"",IF(INDEX('Прайс и заказ'!I:I,$J411)="","",INDEX('Прайс и заказ'!I:I,$J411)))</f>
      </c>
      <c r="G411" s="63" t="str">
        <f>IF($J411=0,"",IF(INDEX('Прайс и заказ'!K:K,$J411)="","",INDEX('Прайс и заказ'!K:K,$J411)))</f>
      </c>
      <c r="H411" s="62" t="str">
        <f>IF($J411=0,"",IF(INDEX('Прайс и заказ'!L:L,$J411)="","",INDEX('Прайс и заказ'!L:L,$J411)))</f>
      </c>
      <c r="I411" s="13" t="str">
        <f>IF($J411=0,"",IF(INDEX('Прайс и заказ'!M:M,$J411)="","",INDEX('Прайс и заказ'!M:M,$J411)))</f>
      </c>
      <c r="J411" t="str">
        <f>IFERROR(MATCH(403,'Прайс и заказ'!$N$7:$N$781,0)+6,0)</f>
      </c>
    </row>
    <row r="412" spans="1:11" customHeight="1" ht="40">
      <c r="A412" s="13" t="str">
        <f>IF($J412=0,"",IFERROR(_xlfn.IMAGE(INDEX('Прайс и заказ'!$O:$O,$J412)),""))</f>
      </c>
      <c r="B412" s="61" t="str">
        <f>IF($J412=0,"",IF(INDEX('Прайс и заказ'!B:B,$J412)="","",INDEX('Прайс и заказ'!B:B,$J412)))</f>
      </c>
      <c r="C412" s="64" t="str">
        <f>IF($J412=0,"",IF(INDEX('Прайс и заказ'!C:C,$J412)="","",INDEX('Прайс и заказ'!C:C,$J412)))</f>
      </c>
      <c r="D412" s="64" t="str">
        <f>IF($J412=0,"",IF(INDEX('Прайс и заказ'!D:D,$J412)="","",INDEX('Прайс и заказ'!D:D,$J412)))</f>
      </c>
      <c r="E412" s="61" t="str">
        <f>IF($J412=0,"",IF(INDEX('Прайс и заказ'!F:F,$J412)="","",INDEX('Прайс и заказ'!F:F,$J412)))</f>
      </c>
      <c r="F412" s="62" t="str">
        <f>IF($J412=0,"",IF(INDEX('Прайс и заказ'!I:I,$J412)="","",INDEX('Прайс и заказ'!I:I,$J412)))</f>
      </c>
      <c r="G412" s="63" t="str">
        <f>IF($J412=0,"",IF(INDEX('Прайс и заказ'!K:K,$J412)="","",INDEX('Прайс и заказ'!K:K,$J412)))</f>
      </c>
      <c r="H412" s="62" t="str">
        <f>IF($J412=0,"",IF(INDEX('Прайс и заказ'!L:L,$J412)="","",INDEX('Прайс и заказ'!L:L,$J412)))</f>
      </c>
      <c r="I412" s="13" t="str">
        <f>IF($J412=0,"",IF(INDEX('Прайс и заказ'!M:M,$J412)="","",INDEX('Прайс и заказ'!M:M,$J412)))</f>
      </c>
      <c r="J412" t="str">
        <f>IFERROR(MATCH(404,'Прайс и заказ'!$N$7:$N$781,0)+6,0)</f>
      </c>
    </row>
    <row r="413" spans="1:11" customHeight="1" ht="40">
      <c r="A413" s="13" t="str">
        <f>IF($J413=0,"",IFERROR(_xlfn.IMAGE(INDEX('Прайс и заказ'!$O:$O,$J413)),""))</f>
      </c>
      <c r="B413" s="61" t="str">
        <f>IF($J413=0,"",IF(INDEX('Прайс и заказ'!B:B,$J413)="","",INDEX('Прайс и заказ'!B:B,$J413)))</f>
      </c>
      <c r="C413" s="64" t="str">
        <f>IF($J413=0,"",IF(INDEX('Прайс и заказ'!C:C,$J413)="","",INDEX('Прайс и заказ'!C:C,$J413)))</f>
      </c>
      <c r="D413" s="64" t="str">
        <f>IF($J413=0,"",IF(INDEX('Прайс и заказ'!D:D,$J413)="","",INDEX('Прайс и заказ'!D:D,$J413)))</f>
      </c>
      <c r="E413" s="61" t="str">
        <f>IF($J413=0,"",IF(INDEX('Прайс и заказ'!F:F,$J413)="","",INDEX('Прайс и заказ'!F:F,$J413)))</f>
      </c>
      <c r="F413" s="62" t="str">
        <f>IF($J413=0,"",IF(INDEX('Прайс и заказ'!I:I,$J413)="","",INDEX('Прайс и заказ'!I:I,$J413)))</f>
      </c>
      <c r="G413" s="63" t="str">
        <f>IF($J413=0,"",IF(INDEX('Прайс и заказ'!K:K,$J413)="","",INDEX('Прайс и заказ'!K:K,$J413)))</f>
      </c>
      <c r="H413" s="62" t="str">
        <f>IF($J413=0,"",IF(INDEX('Прайс и заказ'!L:L,$J413)="","",INDEX('Прайс и заказ'!L:L,$J413)))</f>
      </c>
      <c r="I413" s="13" t="str">
        <f>IF($J413=0,"",IF(INDEX('Прайс и заказ'!M:M,$J413)="","",INDEX('Прайс и заказ'!M:M,$J413)))</f>
      </c>
      <c r="J413" t="str">
        <f>IFERROR(MATCH(405,'Прайс и заказ'!$N$7:$N$781,0)+6,0)</f>
      </c>
    </row>
    <row r="414" spans="1:11" customHeight="1" ht="40">
      <c r="A414" s="13" t="str">
        <f>IF($J414=0,"",IFERROR(_xlfn.IMAGE(INDEX('Прайс и заказ'!$O:$O,$J414)),""))</f>
      </c>
      <c r="B414" s="61" t="str">
        <f>IF($J414=0,"",IF(INDEX('Прайс и заказ'!B:B,$J414)="","",INDEX('Прайс и заказ'!B:B,$J414)))</f>
      </c>
      <c r="C414" s="64" t="str">
        <f>IF($J414=0,"",IF(INDEX('Прайс и заказ'!C:C,$J414)="","",INDEX('Прайс и заказ'!C:C,$J414)))</f>
      </c>
      <c r="D414" s="64" t="str">
        <f>IF($J414=0,"",IF(INDEX('Прайс и заказ'!D:D,$J414)="","",INDEX('Прайс и заказ'!D:D,$J414)))</f>
      </c>
      <c r="E414" s="61" t="str">
        <f>IF($J414=0,"",IF(INDEX('Прайс и заказ'!F:F,$J414)="","",INDEX('Прайс и заказ'!F:F,$J414)))</f>
      </c>
      <c r="F414" s="62" t="str">
        <f>IF($J414=0,"",IF(INDEX('Прайс и заказ'!I:I,$J414)="","",INDEX('Прайс и заказ'!I:I,$J414)))</f>
      </c>
      <c r="G414" s="63" t="str">
        <f>IF($J414=0,"",IF(INDEX('Прайс и заказ'!K:K,$J414)="","",INDEX('Прайс и заказ'!K:K,$J414)))</f>
      </c>
      <c r="H414" s="62" t="str">
        <f>IF($J414=0,"",IF(INDEX('Прайс и заказ'!L:L,$J414)="","",INDEX('Прайс и заказ'!L:L,$J414)))</f>
      </c>
      <c r="I414" s="13" t="str">
        <f>IF($J414=0,"",IF(INDEX('Прайс и заказ'!M:M,$J414)="","",INDEX('Прайс и заказ'!M:M,$J414)))</f>
      </c>
      <c r="J414" t="str">
        <f>IFERROR(MATCH(406,'Прайс и заказ'!$N$7:$N$781,0)+6,0)</f>
      </c>
    </row>
    <row r="415" spans="1:11" customHeight="1" ht="40">
      <c r="A415" s="13" t="str">
        <f>IF($J415=0,"",IFERROR(_xlfn.IMAGE(INDEX('Прайс и заказ'!$O:$O,$J415)),""))</f>
      </c>
      <c r="B415" s="61" t="str">
        <f>IF($J415=0,"",IF(INDEX('Прайс и заказ'!B:B,$J415)="","",INDEX('Прайс и заказ'!B:B,$J415)))</f>
      </c>
      <c r="C415" s="64" t="str">
        <f>IF($J415=0,"",IF(INDEX('Прайс и заказ'!C:C,$J415)="","",INDEX('Прайс и заказ'!C:C,$J415)))</f>
      </c>
      <c r="D415" s="64" t="str">
        <f>IF($J415=0,"",IF(INDEX('Прайс и заказ'!D:D,$J415)="","",INDEX('Прайс и заказ'!D:D,$J415)))</f>
      </c>
      <c r="E415" s="61" t="str">
        <f>IF($J415=0,"",IF(INDEX('Прайс и заказ'!F:F,$J415)="","",INDEX('Прайс и заказ'!F:F,$J415)))</f>
      </c>
      <c r="F415" s="62" t="str">
        <f>IF($J415=0,"",IF(INDEX('Прайс и заказ'!I:I,$J415)="","",INDEX('Прайс и заказ'!I:I,$J415)))</f>
      </c>
      <c r="G415" s="63" t="str">
        <f>IF($J415=0,"",IF(INDEX('Прайс и заказ'!K:K,$J415)="","",INDEX('Прайс и заказ'!K:K,$J415)))</f>
      </c>
      <c r="H415" s="62" t="str">
        <f>IF($J415=0,"",IF(INDEX('Прайс и заказ'!L:L,$J415)="","",INDEX('Прайс и заказ'!L:L,$J415)))</f>
      </c>
      <c r="I415" s="13" t="str">
        <f>IF($J415=0,"",IF(INDEX('Прайс и заказ'!M:M,$J415)="","",INDEX('Прайс и заказ'!M:M,$J415)))</f>
      </c>
      <c r="J415" t="str">
        <f>IFERROR(MATCH(407,'Прайс и заказ'!$N$7:$N$781,0)+6,0)</f>
      </c>
    </row>
    <row r="416" spans="1:11" customHeight="1" ht="40">
      <c r="A416" s="13" t="str">
        <f>IF($J416=0,"",IFERROR(_xlfn.IMAGE(INDEX('Прайс и заказ'!$O:$O,$J416)),""))</f>
      </c>
      <c r="B416" s="61" t="str">
        <f>IF($J416=0,"",IF(INDEX('Прайс и заказ'!B:B,$J416)="","",INDEX('Прайс и заказ'!B:B,$J416)))</f>
      </c>
      <c r="C416" s="64" t="str">
        <f>IF($J416=0,"",IF(INDEX('Прайс и заказ'!C:C,$J416)="","",INDEX('Прайс и заказ'!C:C,$J416)))</f>
      </c>
      <c r="D416" s="64" t="str">
        <f>IF($J416=0,"",IF(INDEX('Прайс и заказ'!D:D,$J416)="","",INDEX('Прайс и заказ'!D:D,$J416)))</f>
      </c>
      <c r="E416" s="61" t="str">
        <f>IF($J416=0,"",IF(INDEX('Прайс и заказ'!F:F,$J416)="","",INDEX('Прайс и заказ'!F:F,$J416)))</f>
      </c>
      <c r="F416" s="62" t="str">
        <f>IF($J416=0,"",IF(INDEX('Прайс и заказ'!I:I,$J416)="","",INDEX('Прайс и заказ'!I:I,$J416)))</f>
      </c>
      <c r="G416" s="63" t="str">
        <f>IF($J416=0,"",IF(INDEX('Прайс и заказ'!K:K,$J416)="","",INDEX('Прайс и заказ'!K:K,$J416)))</f>
      </c>
      <c r="H416" s="62" t="str">
        <f>IF($J416=0,"",IF(INDEX('Прайс и заказ'!L:L,$J416)="","",INDEX('Прайс и заказ'!L:L,$J416)))</f>
      </c>
      <c r="I416" s="13" t="str">
        <f>IF($J416=0,"",IF(INDEX('Прайс и заказ'!M:M,$J416)="","",INDEX('Прайс и заказ'!M:M,$J416)))</f>
      </c>
      <c r="J416" t="str">
        <f>IFERROR(MATCH(408,'Прайс и заказ'!$N$7:$N$781,0)+6,0)</f>
      </c>
    </row>
    <row r="417" spans="1:11" customHeight="1" ht="40">
      <c r="A417" s="13" t="str">
        <f>IF($J417=0,"",IFERROR(_xlfn.IMAGE(INDEX('Прайс и заказ'!$O:$O,$J417)),""))</f>
      </c>
      <c r="B417" s="61" t="str">
        <f>IF($J417=0,"",IF(INDEX('Прайс и заказ'!B:B,$J417)="","",INDEX('Прайс и заказ'!B:B,$J417)))</f>
      </c>
      <c r="C417" s="64" t="str">
        <f>IF($J417=0,"",IF(INDEX('Прайс и заказ'!C:C,$J417)="","",INDEX('Прайс и заказ'!C:C,$J417)))</f>
      </c>
      <c r="D417" s="64" t="str">
        <f>IF($J417=0,"",IF(INDEX('Прайс и заказ'!D:D,$J417)="","",INDEX('Прайс и заказ'!D:D,$J417)))</f>
      </c>
      <c r="E417" s="61" t="str">
        <f>IF($J417=0,"",IF(INDEX('Прайс и заказ'!F:F,$J417)="","",INDEX('Прайс и заказ'!F:F,$J417)))</f>
      </c>
      <c r="F417" s="62" t="str">
        <f>IF($J417=0,"",IF(INDEX('Прайс и заказ'!I:I,$J417)="","",INDEX('Прайс и заказ'!I:I,$J417)))</f>
      </c>
      <c r="G417" s="63" t="str">
        <f>IF($J417=0,"",IF(INDEX('Прайс и заказ'!K:K,$J417)="","",INDEX('Прайс и заказ'!K:K,$J417)))</f>
      </c>
      <c r="H417" s="62" t="str">
        <f>IF($J417=0,"",IF(INDEX('Прайс и заказ'!L:L,$J417)="","",INDEX('Прайс и заказ'!L:L,$J417)))</f>
      </c>
      <c r="I417" s="13" t="str">
        <f>IF($J417=0,"",IF(INDEX('Прайс и заказ'!M:M,$J417)="","",INDEX('Прайс и заказ'!M:M,$J417)))</f>
      </c>
      <c r="J417" t="str">
        <f>IFERROR(MATCH(409,'Прайс и заказ'!$N$7:$N$781,0)+6,0)</f>
      </c>
    </row>
    <row r="418" spans="1:11" customHeight="1" ht="40">
      <c r="A418" s="13" t="str">
        <f>IF($J418=0,"",IFERROR(_xlfn.IMAGE(INDEX('Прайс и заказ'!$O:$O,$J418)),""))</f>
      </c>
      <c r="B418" s="61" t="str">
        <f>IF($J418=0,"",IF(INDEX('Прайс и заказ'!B:B,$J418)="","",INDEX('Прайс и заказ'!B:B,$J418)))</f>
      </c>
      <c r="C418" s="64" t="str">
        <f>IF($J418=0,"",IF(INDEX('Прайс и заказ'!C:C,$J418)="","",INDEX('Прайс и заказ'!C:C,$J418)))</f>
      </c>
      <c r="D418" s="64" t="str">
        <f>IF($J418=0,"",IF(INDEX('Прайс и заказ'!D:D,$J418)="","",INDEX('Прайс и заказ'!D:D,$J418)))</f>
      </c>
      <c r="E418" s="61" t="str">
        <f>IF($J418=0,"",IF(INDEX('Прайс и заказ'!F:F,$J418)="","",INDEX('Прайс и заказ'!F:F,$J418)))</f>
      </c>
      <c r="F418" s="62" t="str">
        <f>IF($J418=0,"",IF(INDEX('Прайс и заказ'!I:I,$J418)="","",INDEX('Прайс и заказ'!I:I,$J418)))</f>
      </c>
      <c r="G418" s="63" t="str">
        <f>IF($J418=0,"",IF(INDEX('Прайс и заказ'!K:K,$J418)="","",INDEX('Прайс и заказ'!K:K,$J418)))</f>
      </c>
      <c r="H418" s="62" t="str">
        <f>IF($J418=0,"",IF(INDEX('Прайс и заказ'!L:L,$J418)="","",INDEX('Прайс и заказ'!L:L,$J418)))</f>
      </c>
      <c r="I418" s="13" t="str">
        <f>IF($J418=0,"",IF(INDEX('Прайс и заказ'!M:M,$J418)="","",INDEX('Прайс и заказ'!M:M,$J418)))</f>
      </c>
      <c r="J418" t="str">
        <f>IFERROR(MATCH(410,'Прайс и заказ'!$N$7:$N$781,0)+6,0)</f>
      </c>
    </row>
    <row r="419" spans="1:11" customHeight="1" ht="40">
      <c r="A419" s="13" t="str">
        <f>IF($J419=0,"",IFERROR(_xlfn.IMAGE(INDEX('Прайс и заказ'!$O:$O,$J419)),""))</f>
      </c>
      <c r="B419" s="61" t="str">
        <f>IF($J419=0,"",IF(INDEX('Прайс и заказ'!B:B,$J419)="","",INDEX('Прайс и заказ'!B:B,$J419)))</f>
      </c>
      <c r="C419" s="64" t="str">
        <f>IF($J419=0,"",IF(INDEX('Прайс и заказ'!C:C,$J419)="","",INDEX('Прайс и заказ'!C:C,$J419)))</f>
      </c>
      <c r="D419" s="64" t="str">
        <f>IF($J419=0,"",IF(INDEX('Прайс и заказ'!D:D,$J419)="","",INDEX('Прайс и заказ'!D:D,$J419)))</f>
      </c>
      <c r="E419" s="61" t="str">
        <f>IF($J419=0,"",IF(INDEX('Прайс и заказ'!F:F,$J419)="","",INDEX('Прайс и заказ'!F:F,$J419)))</f>
      </c>
      <c r="F419" s="62" t="str">
        <f>IF($J419=0,"",IF(INDEX('Прайс и заказ'!I:I,$J419)="","",INDEX('Прайс и заказ'!I:I,$J419)))</f>
      </c>
      <c r="G419" s="63" t="str">
        <f>IF($J419=0,"",IF(INDEX('Прайс и заказ'!K:K,$J419)="","",INDEX('Прайс и заказ'!K:K,$J419)))</f>
      </c>
      <c r="H419" s="62" t="str">
        <f>IF($J419=0,"",IF(INDEX('Прайс и заказ'!L:L,$J419)="","",INDEX('Прайс и заказ'!L:L,$J419)))</f>
      </c>
      <c r="I419" s="13" t="str">
        <f>IF($J419=0,"",IF(INDEX('Прайс и заказ'!M:M,$J419)="","",INDEX('Прайс и заказ'!M:M,$J419)))</f>
      </c>
      <c r="J419" t="str">
        <f>IFERROR(MATCH(411,'Прайс и заказ'!$N$7:$N$781,0)+6,0)</f>
      </c>
    </row>
    <row r="420" spans="1:11" customHeight="1" ht="40">
      <c r="A420" s="13" t="str">
        <f>IF($J420=0,"",IFERROR(_xlfn.IMAGE(INDEX('Прайс и заказ'!$O:$O,$J420)),""))</f>
      </c>
      <c r="B420" s="61" t="str">
        <f>IF($J420=0,"",IF(INDEX('Прайс и заказ'!B:B,$J420)="","",INDEX('Прайс и заказ'!B:B,$J420)))</f>
      </c>
      <c r="C420" s="64" t="str">
        <f>IF($J420=0,"",IF(INDEX('Прайс и заказ'!C:C,$J420)="","",INDEX('Прайс и заказ'!C:C,$J420)))</f>
      </c>
      <c r="D420" s="64" t="str">
        <f>IF($J420=0,"",IF(INDEX('Прайс и заказ'!D:D,$J420)="","",INDEX('Прайс и заказ'!D:D,$J420)))</f>
      </c>
      <c r="E420" s="61" t="str">
        <f>IF($J420=0,"",IF(INDEX('Прайс и заказ'!F:F,$J420)="","",INDEX('Прайс и заказ'!F:F,$J420)))</f>
      </c>
      <c r="F420" s="62" t="str">
        <f>IF($J420=0,"",IF(INDEX('Прайс и заказ'!I:I,$J420)="","",INDEX('Прайс и заказ'!I:I,$J420)))</f>
      </c>
      <c r="G420" s="63" t="str">
        <f>IF($J420=0,"",IF(INDEX('Прайс и заказ'!K:K,$J420)="","",INDEX('Прайс и заказ'!K:K,$J420)))</f>
      </c>
      <c r="H420" s="62" t="str">
        <f>IF($J420=0,"",IF(INDEX('Прайс и заказ'!L:L,$J420)="","",INDEX('Прайс и заказ'!L:L,$J420)))</f>
      </c>
      <c r="I420" s="13" t="str">
        <f>IF($J420=0,"",IF(INDEX('Прайс и заказ'!M:M,$J420)="","",INDEX('Прайс и заказ'!M:M,$J420)))</f>
      </c>
      <c r="J420" t="str">
        <f>IFERROR(MATCH(412,'Прайс и заказ'!$N$7:$N$781,0)+6,0)</f>
      </c>
    </row>
    <row r="421" spans="1:11" customHeight="1" ht="40">
      <c r="A421" s="13" t="str">
        <f>IF($J421=0,"",IFERROR(_xlfn.IMAGE(INDEX('Прайс и заказ'!$O:$O,$J421)),""))</f>
      </c>
      <c r="B421" s="61" t="str">
        <f>IF($J421=0,"",IF(INDEX('Прайс и заказ'!B:B,$J421)="","",INDEX('Прайс и заказ'!B:B,$J421)))</f>
      </c>
      <c r="C421" s="64" t="str">
        <f>IF($J421=0,"",IF(INDEX('Прайс и заказ'!C:C,$J421)="","",INDEX('Прайс и заказ'!C:C,$J421)))</f>
      </c>
      <c r="D421" s="64" t="str">
        <f>IF($J421=0,"",IF(INDEX('Прайс и заказ'!D:D,$J421)="","",INDEX('Прайс и заказ'!D:D,$J421)))</f>
      </c>
      <c r="E421" s="61" t="str">
        <f>IF($J421=0,"",IF(INDEX('Прайс и заказ'!F:F,$J421)="","",INDEX('Прайс и заказ'!F:F,$J421)))</f>
      </c>
      <c r="F421" s="62" t="str">
        <f>IF($J421=0,"",IF(INDEX('Прайс и заказ'!I:I,$J421)="","",INDEX('Прайс и заказ'!I:I,$J421)))</f>
      </c>
      <c r="G421" s="63" t="str">
        <f>IF($J421=0,"",IF(INDEX('Прайс и заказ'!K:K,$J421)="","",INDEX('Прайс и заказ'!K:K,$J421)))</f>
      </c>
      <c r="H421" s="62" t="str">
        <f>IF($J421=0,"",IF(INDEX('Прайс и заказ'!L:L,$J421)="","",INDEX('Прайс и заказ'!L:L,$J421)))</f>
      </c>
      <c r="I421" s="13" t="str">
        <f>IF($J421=0,"",IF(INDEX('Прайс и заказ'!M:M,$J421)="","",INDEX('Прайс и заказ'!M:M,$J421)))</f>
      </c>
      <c r="J421" t="str">
        <f>IFERROR(MATCH(413,'Прайс и заказ'!$N$7:$N$781,0)+6,0)</f>
      </c>
    </row>
    <row r="422" spans="1:11" customHeight="1" ht="40">
      <c r="A422" s="13" t="str">
        <f>IF($J422=0,"",IFERROR(_xlfn.IMAGE(INDEX('Прайс и заказ'!$O:$O,$J422)),""))</f>
      </c>
      <c r="B422" s="61" t="str">
        <f>IF($J422=0,"",IF(INDEX('Прайс и заказ'!B:B,$J422)="","",INDEX('Прайс и заказ'!B:B,$J422)))</f>
      </c>
      <c r="C422" s="64" t="str">
        <f>IF($J422=0,"",IF(INDEX('Прайс и заказ'!C:C,$J422)="","",INDEX('Прайс и заказ'!C:C,$J422)))</f>
      </c>
      <c r="D422" s="64" t="str">
        <f>IF($J422=0,"",IF(INDEX('Прайс и заказ'!D:D,$J422)="","",INDEX('Прайс и заказ'!D:D,$J422)))</f>
      </c>
      <c r="E422" s="61" t="str">
        <f>IF($J422=0,"",IF(INDEX('Прайс и заказ'!F:F,$J422)="","",INDEX('Прайс и заказ'!F:F,$J422)))</f>
      </c>
      <c r="F422" s="62" t="str">
        <f>IF($J422=0,"",IF(INDEX('Прайс и заказ'!I:I,$J422)="","",INDEX('Прайс и заказ'!I:I,$J422)))</f>
      </c>
      <c r="G422" s="63" t="str">
        <f>IF($J422=0,"",IF(INDEX('Прайс и заказ'!K:K,$J422)="","",INDEX('Прайс и заказ'!K:K,$J422)))</f>
      </c>
      <c r="H422" s="62" t="str">
        <f>IF($J422=0,"",IF(INDEX('Прайс и заказ'!L:L,$J422)="","",INDEX('Прайс и заказ'!L:L,$J422)))</f>
      </c>
      <c r="I422" s="13" t="str">
        <f>IF($J422=0,"",IF(INDEX('Прайс и заказ'!M:M,$J422)="","",INDEX('Прайс и заказ'!M:M,$J422)))</f>
      </c>
      <c r="J422" t="str">
        <f>IFERROR(MATCH(414,'Прайс и заказ'!$N$7:$N$781,0)+6,0)</f>
      </c>
    </row>
    <row r="423" spans="1:11" customHeight="1" ht="40">
      <c r="A423" s="13" t="str">
        <f>IF($J423=0,"",IFERROR(_xlfn.IMAGE(INDEX('Прайс и заказ'!$O:$O,$J423)),""))</f>
      </c>
      <c r="B423" s="61" t="str">
        <f>IF($J423=0,"",IF(INDEX('Прайс и заказ'!B:B,$J423)="","",INDEX('Прайс и заказ'!B:B,$J423)))</f>
      </c>
      <c r="C423" s="64" t="str">
        <f>IF($J423=0,"",IF(INDEX('Прайс и заказ'!C:C,$J423)="","",INDEX('Прайс и заказ'!C:C,$J423)))</f>
      </c>
      <c r="D423" s="64" t="str">
        <f>IF($J423=0,"",IF(INDEX('Прайс и заказ'!D:D,$J423)="","",INDEX('Прайс и заказ'!D:D,$J423)))</f>
      </c>
      <c r="E423" s="61" t="str">
        <f>IF($J423=0,"",IF(INDEX('Прайс и заказ'!F:F,$J423)="","",INDEX('Прайс и заказ'!F:F,$J423)))</f>
      </c>
      <c r="F423" s="62" t="str">
        <f>IF($J423=0,"",IF(INDEX('Прайс и заказ'!I:I,$J423)="","",INDEX('Прайс и заказ'!I:I,$J423)))</f>
      </c>
      <c r="G423" s="63" t="str">
        <f>IF($J423=0,"",IF(INDEX('Прайс и заказ'!K:K,$J423)="","",INDEX('Прайс и заказ'!K:K,$J423)))</f>
      </c>
      <c r="H423" s="62" t="str">
        <f>IF($J423=0,"",IF(INDEX('Прайс и заказ'!L:L,$J423)="","",INDEX('Прайс и заказ'!L:L,$J423)))</f>
      </c>
      <c r="I423" s="13" t="str">
        <f>IF($J423=0,"",IF(INDEX('Прайс и заказ'!M:M,$J423)="","",INDEX('Прайс и заказ'!M:M,$J423)))</f>
      </c>
      <c r="J423" t="str">
        <f>IFERROR(MATCH(415,'Прайс и заказ'!$N$7:$N$781,0)+6,0)</f>
      </c>
    </row>
    <row r="424" spans="1:11" customHeight="1" ht="40">
      <c r="A424" s="13" t="str">
        <f>IF($J424=0,"",IFERROR(_xlfn.IMAGE(INDEX('Прайс и заказ'!$O:$O,$J424)),""))</f>
      </c>
      <c r="B424" s="61" t="str">
        <f>IF($J424=0,"",IF(INDEX('Прайс и заказ'!B:B,$J424)="","",INDEX('Прайс и заказ'!B:B,$J424)))</f>
      </c>
      <c r="C424" s="64" t="str">
        <f>IF($J424=0,"",IF(INDEX('Прайс и заказ'!C:C,$J424)="","",INDEX('Прайс и заказ'!C:C,$J424)))</f>
      </c>
      <c r="D424" s="64" t="str">
        <f>IF($J424=0,"",IF(INDEX('Прайс и заказ'!D:D,$J424)="","",INDEX('Прайс и заказ'!D:D,$J424)))</f>
      </c>
      <c r="E424" s="61" t="str">
        <f>IF($J424=0,"",IF(INDEX('Прайс и заказ'!F:F,$J424)="","",INDEX('Прайс и заказ'!F:F,$J424)))</f>
      </c>
      <c r="F424" s="62" t="str">
        <f>IF($J424=0,"",IF(INDEX('Прайс и заказ'!I:I,$J424)="","",INDEX('Прайс и заказ'!I:I,$J424)))</f>
      </c>
      <c r="G424" s="63" t="str">
        <f>IF($J424=0,"",IF(INDEX('Прайс и заказ'!K:K,$J424)="","",INDEX('Прайс и заказ'!K:K,$J424)))</f>
      </c>
      <c r="H424" s="62" t="str">
        <f>IF($J424=0,"",IF(INDEX('Прайс и заказ'!L:L,$J424)="","",INDEX('Прайс и заказ'!L:L,$J424)))</f>
      </c>
      <c r="I424" s="13" t="str">
        <f>IF($J424=0,"",IF(INDEX('Прайс и заказ'!M:M,$J424)="","",INDEX('Прайс и заказ'!M:M,$J424)))</f>
      </c>
      <c r="J424" t="str">
        <f>IFERROR(MATCH(416,'Прайс и заказ'!$N$7:$N$781,0)+6,0)</f>
      </c>
    </row>
    <row r="425" spans="1:11" customHeight="1" ht="40">
      <c r="A425" s="13" t="str">
        <f>IF($J425=0,"",IFERROR(_xlfn.IMAGE(INDEX('Прайс и заказ'!$O:$O,$J425)),""))</f>
      </c>
      <c r="B425" s="61" t="str">
        <f>IF($J425=0,"",IF(INDEX('Прайс и заказ'!B:B,$J425)="","",INDEX('Прайс и заказ'!B:B,$J425)))</f>
      </c>
      <c r="C425" s="64" t="str">
        <f>IF($J425=0,"",IF(INDEX('Прайс и заказ'!C:C,$J425)="","",INDEX('Прайс и заказ'!C:C,$J425)))</f>
      </c>
      <c r="D425" s="64" t="str">
        <f>IF($J425=0,"",IF(INDEX('Прайс и заказ'!D:D,$J425)="","",INDEX('Прайс и заказ'!D:D,$J425)))</f>
      </c>
      <c r="E425" s="61" t="str">
        <f>IF($J425=0,"",IF(INDEX('Прайс и заказ'!F:F,$J425)="","",INDEX('Прайс и заказ'!F:F,$J425)))</f>
      </c>
      <c r="F425" s="62" t="str">
        <f>IF($J425=0,"",IF(INDEX('Прайс и заказ'!I:I,$J425)="","",INDEX('Прайс и заказ'!I:I,$J425)))</f>
      </c>
      <c r="G425" s="63" t="str">
        <f>IF($J425=0,"",IF(INDEX('Прайс и заказ'!K:K,$J425)="","",INDEX('Прайс и заказ'!K:K,$J425)))</f>
      </c>
      <c r="H425" s="62" t="str">
        <f>IF($J425=0,"",IF(INDEX('Прайс и заказ'!L:L,$J425)="","",INDEX('Прайс и заказ'!L:L,$J425)))</f>
      </c>
      <c r="I425" s="13" t="str">
        <f>IF($J425=0,"",IF(INDEX('Прайс и заказ'!M:M,$J425)="","",INDEX('Прайс и заказ'!M:M,$J425)))</f>
      </c>
      <c r="J425" t="str">
        <f>IFERROR(MATCH(417,'Прайс и заказ'!$N$7:$N$781,0)+6,0)</f>
      </c>
    </row>
    <row r="426" spans="1:11" customHeight="1" ht="40">
      <c r="A426" s="13" t="str">
        <f>IF($J426=0,"",IFERROR(_xlfn.IMAGE(INDEX('Прайс и заказ'!$O:$O,$J426)),""))</f>
      </c>
      <c r="B426" s="61" t="str">
        <f>IF($J426=0,"",IF(INDEX('Прайс и заказ'!B:B,$J426)="","",INDEX('Прайс и заказ'!B:B,$J426)))</f>
      </c>
      <c r="C426" s="64" t="str">
        <f>IF($J426=0,"",IF(INDEX('Прайс и заказ'!C:C,$J426)="","",INDEX('Прайс и заказ'!C:C,$J426)))</f>
      </c>
      <c r="D426" s="64" t="str">
        <f>IF($J426=0,"",IF(INDEX('Прайс и заказ'!D:D,$J426)="","",INDEX('Прайс и заказ'!D:D,$J426)))</f>
      </c>
      <c r="E426" s="61" t="str">
        <f>IF($J426=0,"",IF(INDEX('Прайс и заказ'!F:F,$J426)="","",INDEX('Прайс и заказ'!F:F,$J426)))</f>
      </c>
      <c r="F426" s="62" t="str">
        <f>IF($J426=0,"",IF(INDEX('Прайс и заказ'!I:I,$J426)="","",INDEX('Прайс и заказ'!I:I,$J426)))</f>
      </c>
      <c r="G426" s="63" t="str">
        <f>IF($J426=0,"",IF(INDEX('Прайс и заказ'!K:K,$J426)="","",INDEX('Прайс и заказ'!K:K,$J426)))</f>
      </c>
      <c r="H426" s="62" t="str">
        <f>IF($J426=0,"",IF(INDEX('Прайс и заказ'!L:L,$J426)="","",INDEX('Прайс и заказ'!L:L,$J426)))</f>
      </c>
      <c r="I426" s="13" t="str">
        <f>IF($J426=0,"",IF(INDEX('Прайс и заказ'!M:M,$J426)="","",INDEX('Прайс и заказ'!M:M,$J426)))</f>
      </c>
      <c r="J426" t="str">
        <f>IFERROR(MATCH(418,'Прайс и заказ'!$N$7:$N$781,0)+6,0)</f>
      </c>
    </row>
    <row r="427" spans="1:11" customHeight="1" ht="40">
      <c r="A427" s="13" t="str">
        <f>IF($J427=0,"",IFERROR(_xlfn.IMAGE(INDEX('Прайс и заказ'!$O:$O,$J427)),""))</f>
      </c>
      <c r="B427" s="61" t="str">
        <f>IF($J427=0,"",IF(INDEX('Прайс и заказ'!B:B,$J427)="","",INDEX('Прайс и заказ'!B:B,$J427)))</f>
      </c>
      <c r="C427" s="64" t="str">
        <f>IF($J427=0,"",IF(INDEX('Прайс и заказ'!C:C,$J427)="","",INDEX('Прайс и заказ'!C:C,$J427)))</f>
      </c>
      <c r="D427" s="64" t="str">
        <f>IF($J427=0,"",IF(INDEX('Прайс и заказ'!D:D,$J427)="","",INDEX('Прайс и заказ'!D:D,$J427)))</f>
      </c>
      <c r="E427" s="61" t="str">
        <f>IF($J427=0,"",IF(INDEX('Прайс и заказ'!F:F,$J427)="","",INDEX('Прайс и заказ'!F:F,$J427)))</f>
      </c>
      <c r="F427" s="62" t="str">
        <f>IF($J427=0,"",IF(INDEX('Прайс и заказ'!I:I,$J427)="","",INDEX('Прайс и заказ'!I:I,$J427)))</f>
      </c>
      <c r="G427" s="63" t="str">
        <f>IF($J427=0,"",IF(INDEX('Прайс и заказ'!K:K,$J427)="","",INDEX('Прайс и заказ'!K:K,$J427)))</f>
      </c>
      <c r="H427" s="62" t="str">
        <f>IF($J427=0,"",IF(INDEX('Прайс и заказ'!L:L,$J427)="","",INDEX('Прайс и заказ'!L:L,$J427)))</f>
      </c>
      <c r="I427" s="13" t="str">
        <f>IF($J427=0,"",IF(INDEX('Прайс и заказ'!M:M,$J427)="","",INDEX('Прайс и заказ'!M:M,$J427)))</f>
      </c>
      <c r="J427" t="str">
        <f>IFERROR(MATCH(419,'Прайс и заказ'!$N$7:$N$781,0)+6,0)</f>
      </c>
    </row>
    <row r="428" spans="1:11" customHeight="1" ht="40">
      <c r="A428" s="13" t="str">
        <f>IF($J428=0,"",IFERROR(_xlfn.IMAGE(INDEX('Прайс и заказ'!$O:$O,$J428)),""))</f>
      </c>
      <c r="B428" s="61" t="str">
        <f>IF($J428=0,"",IF(INDEX('Прайс и заказ'!B:B,$J428)="","",INDEX('Прайс и заказ'!B:B,$J428)))</f>
      </c>
      <c r="C428" s="64" t="str">
        <f>IF($J428=0,"",IF(INDEX('Прайс и заказ'!C:C,$J428)="","",INDEX('Прайс и заказ'!C:C,$J428)))</f>
      </c>
      <c r="D428" s="64" t="str">
        <f>IF($J428=0,"",IF(INDEX('Прайс и заказ'!D:D,$J428)="","",INDEX('Прайс и заказ'!D:D,$J428)))</f>
      </c>
      <c r="E428" s="61" t="str">
        <f>IF($J428=0,"",IF(INDEX('Прайс и заказ'!F:F,$J428)="","",INDEX('Прайс и заказ'!F:F,$J428)))</f>
      </c>
      <c r="F428" s="62" t="str">
        <f>IF($J428=0,"",IF(INDEX('Прайс и заказ'!I:I,$J428)="","",INDEX('Прайс и заказ'!I:I,$J428)))</f>
      </c>
      <c r="G428" s="63" t="str">
        <f>IF($J428=0,"",IF(INDEX('Прайс и заказ'!K:K,$J428)="","",INDEX('Прайс и заказ'!K:K,$J428)))</f>
      </c>
      <c r="H428" s="62" t="str">
        <f>IF($J428=0,"",IF(INDEX('Прайс и заказ'!L:L,$J428)="","",INDEX('Прайс и заказ'!L:L,$J428)))</f>
      </c>
      <c r="I428" s="13" t="str">
        <f>IF($J428=0,"",IF(INDEX('Прайс и заказ'!M:M,$J428)="","",INDEX('Прайс и заказ'!M:M,$J428)))</f>
      </c>
      <c r="J428" t="str">
        <f>IFERROR(MATCH(420,'Прайс и заказ'!$N$7:$N$781,0)+6,0)</f>
      </c>
    </row>
    <row r="429" spans="1:11" customHeight="1" ht="40">
      <c r="A429" s="13" t="str">
        <f>IF($J429=0,"",IFERROR(_xlfn.IMAGE(INDEX('Прайс и заказ'!$O:$O,$J429)),""))</f>
      </c>
      <c r="B429" s="61" t="str">
        <f>IF($J429=0,"",IF(INDEX('Прайс и заказ'!B:B,$J429)="","",INDEX('Прайс и заказ'!B:B,$J429)))</f>
      </c>
      <c r="C429" s="64" t="str">
        <f>IF($J429=0,"",IF(INDEX('Прайс и заказ'!C:C,$J429)="","",INDEX('Прайс и заказ'!C:C,$J429)))</f>
      </c>
      <c r="D429" s="64" t="str">
        <f>IF($J429=0,"",IF(INDEX('Прайс и заказ'!D:D,$J429)="","",INDEX('Прайс и заказ'!D:D,$J429)))</f>
      </c>
      <c r="E429" s="61" t="str">
        <f>IF($J429=0,"",IF(INDEX('Прайс и заказ'!F:F,$J429)="","",INDEX('Прайс и заказ'!F:F,$J429)))</f>
      </c>
      <c r="F429" s="62" t="str">
        <f>IF($J429=0,"",IF(INDEX('Прайс и заказ'!I:I,$J429)="","",INDEX('Прайс и заказ'!I:I,$J429)))</f>
      </c>
      <c r="G429" s="63" t="str">
        <f>IF($J429=0,"",IF(INDEX('Прайс и заказ'!K:K,$J429)="","",INDEX('Прайс и заказ'!K:K,$J429)))</f>
      </c>
      <c r="H429" s="62" t="str">
        <f>IF($J429=0,"",IF(INDEX('Прайс и заказ'!L:L,$J429)="","",INDEX('Прайс и заказ'!L:L,$J429)))</f>
      </c>
      <c r="I429" s="13" t="str">
        <f>IF($J429=0,"",IF(INDEX('Прайс и заказ'!M:M,$J429)="","",INDEX('Прайс и заказ'!M:M,$J429)))</f>
      </c>
      <c r="J429" t="str">
        <f>IFERROR(MATCH(421,'Прайс и заказ'!$N$7:$N$781,0)+6,0)</f>
      </c>
    </row>
    <row r="430" spans="1:11" customHeight="1" ht="40">
      <c r="A430" s="13" t="str">
        <f>IF($J430=0,"",IFERROR(_xlfn.IMAGE(INDEX('Прайс и заказ'!$O:$O,$J430)),""))</f>
      </c>
      <c r="B430" s="61" t="str">
        <f>IF($J430=0,"",IF(INDEX('Прайс и заказ'!B:B,$J430)="","",INDEX('Прайс и заказ'!B:B,$J430)))</f>
      </c>
      <c r="C430" s="64" t="str">
        <f>IF($J430=0,"",IF(INDEX('Прайс и заказ'!C:C,$J430)="","",INDEX('Прайс и заказ'!C:C,$J430)))</f>
      </c>
      <c r="D430" s="64" t="str">
        <f>IF($J430=0,"",IF(INDEX('Прайс и заказ'!D:D,$J430)="","",INDEX('Прайс и заказ'!D:D,$J430)))</f>
      </c>
      <c r="E430" s="61" t="str">
        <f>IF($J430=0,"",IF(INDEX('Прайс и заказ'!F:F,$J430)="","",INDEX('Прайс и заказ'!F:F,$J430)))</f>
      </c>
      <c r="F430" s="62" t="str">
        <f>IF($J430=0,"",IF(INDEX('Прайс и заказ'!I:I,$J430)="","",INDEX('Прайс и заказ'!I:I,$J430)))</f>
      </c>
      <c r="G430" s="63" t="str">
        <f>IF($J430=0,"",IF(INDEX('Прайс и заказ'!K:K,$J430)="","",INDEX('Прайс и заказ'!K:K,$J430)))</f>
      </c>
      <c r="H430" s="62" t="str">
        <f>IF($J430=0,"",IF(INDEX('Прайс и заказ'!L:L,$J430)="","",INDEX('Прайс и заказ'!L:L,$J430)))</f>
      </c>
      <c r="I430" s="13" t="str">
        <f>IF($J430=0,"",IF(INDEX('Прайс и заказ'!M:M,$J430)="","",INDEX('Прайс и заказ'!M:M,$J430)))</f>
      </c>
      <c r="J430" t="str">
        <f>IFERROR(MATCH(422,'Прайс и заказ'!$N$7:$N$781,0)+6,0)</f>
      </c>
    </row>
    <row r="431" spans="1:11" customHeight="1" ht="40">
      <c r="A431" s="13" t="str">
        <f>IF($J431=0,"",IFERROR(_xlfn.IMAGE(INDEX('Прайс и заказ'!$O:$O,$J431)),""))</f>
      </c>
      <c r="B431" s="61" t="str">
        <f>IF($J431=0,"",IF(INDEX('Прайс и заказ'!B:B,$J431)="","",INDEX('Прайс и заказ'!B:B,$J431)))</f>
      </c>
      <c r="C431" s="64" t="str">
        <f>IF($J431=0,"",IF(INDEX('Прайс и заказ'!C:C,$J431)="","",INDEX('Прайс и заказ'!C:C,$J431)))</f>
      </c>
      <c r="D431" s="64" t="str">
        <f>IF($J431=0,"",IF(INDEX('Прайс и заказ'!D:D,$J431)="","",INDEX('Прайс и заказ'!D:D,$J431)))</f>
      </c>
      <c r="E431" s="61" t="str">
        <f>IF($J431=0,"",IF(INDEX('Прайс и заказ'!F:F,$J431)="","",INDEX('Прайс и заказ'!F:F,$J431)))</f>
      </c>
      <c r="F431" s="62" t="str">
        <f>IF($J431=0,"",IF(INDEX('Прайс и заказ'!I:I,$J431)="","",INDEX('Прайс и заказ'!I:I,$J431)))</f>
      </c>
      <c r="G431" s="63" t="str">
        <f>IF($J431=0,"",IF(INDEX('Прайс и заказ'!K:K,$J431)="","",INDEX('Прайс и заказ'!K:K,$J431)))</f>
      </c>
      <c r="H431" s="62" t="str">
        <f>IF($J431=0,"",IF(INDEX('Прайс и заказ'!L:L,$J431)="","",INDEX('Прайс и заказ'!L:L,$J431)))</f>
      </c>
      <c r="I431" s="13" t="str">
        <f>IF($J431=0,"",IF(INDEX('Прайс и заказ'!M:M,$J431)="","",INDEX('Прайс и заказ'!M:M,$J431)))</f>
      </c>
      <c r="J431" t="str">
        <f>IFERROR(MATCH(423,'Прайс и заказ'!$N$7:$N$781,0)+6,0)</f>
      </c>
    </row>
    <row r="432" spans="1:11" customHeight="1" ht="40">
      <c r="A432" s="13" t="str">
        <f>IF($J432=0,"",IFERROR(_xlfn.IMAGE(INDEX('Прайс и заказ'!$O:$O,$J432)),""))</f>
      </c>
      <c r="B432" s="61" t="str">
        <f>IF($J432=0,"",IF(INDEX('Прайс и заказ'!B:B,$J432)="","",INDEX('Прайс и заказ'!B:B,$J432)))</f>
      </c>
      <c r="C432" s="64" t="str">
        <f>IF($J432=0,"",IF(INDEX('Прайс и заказ'!C:C,$J432)="","",INDEX('Прайс и заказ'!C:C,$J432)))</f>
      </c>
      <c r="D432" s="64" t="str">
        <f>IF($J432=0,"",IF(INDEX('Прайс и заказ'!D:D,$J432)="","",INDEX('Прайс и заказ'!D:D,$J432)))</f>
      </c>
      <c r="E432" s="61" t="str">
        <f>IF($J432=0,"",IF(INDEX('Прайс и заказ'!F:F,$J432)="","",INDEX('Прайс и заказ'!F:F,$J432)))</f>
      </c>
      <c r="F432" s="62" t="str">
        <f>IF($J432=0,"",IF(INDEX('Прайс и заказ'!I:I,$J432)="","",INDEX('Прайс и заказ'!I:I,$J432)))</f>
      </c>
      <c r="G432" s="63" t="str">
        <f>IF($J432=0,"",IF(INDEX('Прайс и заказ'!K:K,$J432)="","",INDEX('Прайс и заказ'!K:K,$J432)))</f>
      </c>
      <c r="H432" s="62" t="str">
        <f>IF($J432=0,"",IF(INDEX('Прайс и заказ'!L:L,$J432)="","",INDEX('Прайс и заказ'!L:L,$J432)))</f>
      </c>
      <c r="I432" s="13" t="str">
        <f>IF($J432=0,"",IF(INDEX('Прайс и заказ'!M:M,$J432)="","",INDEX('Прайс и заказ'!M:M,$J432)))</f>
      </c>
      <c r="J432" t="str">
        <f>IFERROR(MATCH(424,'Прайс и заказ'!$N$7:$N$781,0)+6,0)</f>
      </c>
    </row>
    <row r="433" spans="1:11" customHeight="1" ht="40">
      <c r="A433" s="13" t="str">
        <f>IF($J433=0,"",IFERROR(_xlfn.IMAGE(INDEX('Прайс и заказ'!$O:$O,$J433)),""))</f>
      </c>
      <c r="B433" s="61" t="str">
        <f>IF($J433=0,"",IF(INDEX('Прайс и заказ'!B:B,$J433)="","",INDEX('Прайс и заказ'!B:B,$J433)))</f>
      </c>
      <c r="C433" s="64" t="str">
        <f>IF($J433=0,"",IF(INDEX('Прайс и заказ'!C:C,$J433)="","",INDEX('Прайс и заказ'!C:C,$J433)))</f>
      </c>
      <c r="D433" s="64" t="str">
        <f>IF($J433=0,"",IF(INDEX('Прайс и заказ'!D:D,$J433)="","",INDEX('Прайс и заказ'!D:D,$J433)))</f>
      </c>
      <c r="E433" s="61" t="str">
        <f>IF($J433=0,"",IF(INDEX('Прайс и заказ'!F:F,$J433)="","",INDEX('Прайс и заказ'!F:F,$J433)))</f>
      </c>
      <c r="F433" s="62" t="str">
        <f>IF($J433=0,"",IF(INDEX('Прайс и заказ'!I:I,$J433)="","",INDEX('Прайс и заказ'!I:I,$J433)))</f>
      </c>
      <c r="G433" s="63" t="str">
        <f>IF($J433=0,"",IF(INDEX('Прайс и заказ'!K:K,$J433)="","",INDEX('Прайс и заказ'!K:K,$J433)))</f>
      </c>
      <c r="H433" s="62" t="str">
        <f>IF($J433=0,"",IF(INDEX('Прайс и заказ'!L:L,$J433)="","",INDEX('Прайс и заказ'!L:L,$J433)))</f>
      </c>
      <c r="I433" s="13" t="str">
        <f>IF($J433=0,"",IF(INDEX('Прайс и заказ'!M:M,$J433)="","",INDEX('Прайс и заказ'!M:M,$J433)))</f>
      </c>
      <c r="J433" t="str">
        <f>IFERROR(MATCH(425,'Прайс и заказ'!$N$7:$N$781,0)+6,0)</f>
      </c>
    </row>
    <row r="434" spans="1:11" customHeight="1" ht="40">
      <c r="A434" s="13" t="str">
        <f>IF($J434=0,"",IFERROR(_xlfn.IMAGE(INDEX('Прайс и заказ'!$O:$O,$J434)),""))</f>
      </c>
      <c r="B434" s="61" t="str">
        <f>IF($J434=0,"",IF(INDEX('Прайс и заказ'!B:B,$J434)="","",INDEX('Прайс и заказ'!B:B,$J434)))</f>
      </c>
      <c r="C434" s="64" t="str">
        <f>IF($J434=0,"",IF(INDEX('Прайс и заказ'!C:C,$J434)="","",INDEX('Прайс и заказ'!C:C,$J434)))</f>
      </c>
      <c r="D434" s="64" t="str">
        <f>IF($J434=0,"",IF(INDEX('Прайс и заказ'!D:D,$J434)="","",INDEX('Прайс и заказ'!D:D,$J434)))</f>
      </c>
      <c r="E434" s="61" t="str">
        <f>IF($J434=0,"",IF(INDEX('Прайс и заказ'!F:F,$J434)="","",INDEX('Прайс и заказ'!F:F,$J434)))</f>
      </c>
      <c r="F434" s="62" t="str">
        <f>IF($J434=0,"",IF(INDEX('Прайс и заказ'!I:I,$J434)="","",INDEX('Прайс и заказ'!I:I,$J434)))</f>
      </c>
      <c r="G434" s="63" t="str">
        <f>IF($J434=0,"",IF(INDEX('Прайс и заказ'!K:K,$J434)="","",INDEX('Прайс и заказ'!K:K,$J434)))</f>
      </c>
      <c r="H434" s="62" t="str">
        <f>IF($J434=0,"",IF(INDEX('Прайс и заказ'!L:L,$J434)="","",INDEX('Прайс и заказ'!L:L,$J434)))</f>
      </c>
      <c r="I434" s="13" t="str">
        <f>IF($J434=0,"",IF(INDEX('Прайс и заказ'!M:M,$J434)="","",INDEX('Прайс и заказ'!M:M,$J434)))</f>
      </c>
      <c r="J434" t="str">
        <f>IFERROR(MATCH(426,'Прайс и заказ'!$N$7:$N$781,0)+6,0)</f>
      </c>
    </row>
    <row r="435" spans="1:11" customHeight="1" ht="40">
      <c r="A435" s="13" t="str">
        <f>IF($J435=0,"",IFERROR(_xlfn.IMAGE(INDEX('Прайс и заказ'!$O:$O,$J435)),""))</f>
      </c>
      <c r="B435" s="61" t="str">
        <f>IF($J435=0,"",IF(INDEX('Прайс и заказ'!B:B,$J435)="","",INDEX('Прайс и заказ'!B:B,$J435)))</f>
      </c>
      <c r="C435" s="64" t="str">
        <f>IF($J435=0,"",IF(INDEX('Прайс и заказ'!C:C,$J435)="","",INDEX('Прайс и заказ'!C:C,$J435)))</f>
      </c>
      <c r="D435" s="64" t="str">
        <f>IF($J435=0,"",IF(INDEX('Прайс и заказ'!D:D,$J435)="","",INDEX('Прайс и заказ'!D:D,$J435)))</f>
      </c>
      <c r="E435" s="61" t="str">
        <f>IF($J435=0,"",IF(INDEX('Прайс и заказ'!F:F,$J435)="","",INDEX('Прайс и заказ'!F:F,$J435)))</f>
      </c>
      <c r="F435" s="62" t="str">
        <f>IF($J435=0,"",IF(INDEX('Прайс и заказ'!I:I,$J435)="","",INDEX('Прайс и заказ'!I:I,$J435)))</f>
      </c>
      <c r="G435" s="63" t="str">
        <f>IF($J435=0,"",IF(INDEX('Прайс и заказ'!K:K,$J435)="","",INDEX('Прайс и заказ'!K:K,$J435)))</f>
      </c>
      <c r="H435" s="62" t="str">
        <f>IF($J435=0,"",IF(INDEX('Прайс и заказ'!L:L,$J435)="","",INDEX('Прайс и заказ'!L:L,$J435)))</f>
      </c>
      <c r="I435" s="13" t="str">
        <f>IF($J435=0,"",IF(INDEX('Прайс и заказ'!M:M,$J435)="","",INDEX('Прайс и заказ'!M:M,$J435)))</f>
      </c>
      <c r="J435" t="str">
        <f>IFERROR(MATCH(427,'Прайс и заказ'!$N$7:$N$781,0)+6,0)</f>
      </c>
    </row>
    <row r="436" spans="1:11" customHeight="1" ht="40">
      <c r="A436" s="13" t="str">
        <f>IF($J436=0,"",IFERROR(_xlfn.IMAGE(INDEX('Прайс и заказ'!$O:$O,$J436)),""))</f>
      </c>
      <c r="B436" s="61" t="str">
        <f>IF($J436=0,"",IF(INDEX('Прайс и заказ'!B:B,$J436)="","",INDEX('Прайс и заказ'!B:B,$J436)))</f>
      </c>
      <c r="C436" s="64" t="str">
        <f>IF($J436=0,"",IF(INDEX('Прайс и заказ'!C:C,$J436)="","",INDEX('Прайс и заказ'!C:C,$J436)))</f>
      </c>
      <c r="D436" s="64" t="str">
        <f>IF($J436=0,"",IF(INDEX('Прайс и заказ'!D:D,$J436)="","",INDEX('Прайс и заказ'!D:D,$J436)))</f>
      </c>
      <c r="E436" s="61" t="str">
        <f>IF($J436=0,"",IF(INDEX('Прайс и заказ'!F:F,$J436)="","",INDEX('Прайс и заказ'!F:F,$J436)))</f>
      </c>
      <c r="F436" s="62" t="str">
        <f>IF($J436=0,"",IF(INDEX('Прайс и заказ'!I:I,$J436)="","",INDEX('Прайс и заказ'!I:I,$J436)))</f>
      </c>
      <c r="G436" s="63" t="str">
        <f>IF($J436=0,"",IF(INDEX('Прайс и заказ'!K:K,$J436)="","",INDEX('Прайс и заказ'!K:K,$J436)))</f>
      </c>
      <c r="H436" s="62" t="str">
        <f>IF($J436=0,"",IF(INDEX('Прайс и заказ'!L:L,$J436)="","",INDEX('Прайс и заказ'!L:L,$J436)))</f>
      </c>
      <c r="I436" s="13" t="str">
        <f>IF($J436=0,"",IF(INDEX('Прайс и заказ'!M:M,$J436)="","",INDEX('Прайс и заказ'!M:M,$J436)))</f>
      </c>
      <c r="J436" t="str">
        <f>IFERROR(MATCH(428,'Прайс и заказ'!$N$7:$N$781,0)+6,0)</f>
      </c>
    </row>
    <row r="437" spans="1:11" customHeight="1" ht="40">
      <c r="A437" s="13" t="str">
        <f>IF($J437=0,"",IFERROR(_xlfn.IMAGE(INDEX('Прайс и заказ'!$O:$O,$J437)),""))</f>
      </c>
      <c r="B437" s="61" t="str">
        <f>IF($J437=0,"",IF(INDEX('Прайс и заказ'!B:B,$J437)="","",INDEX('Прайс и заказ'!B:B,$J437)))</f>
      </c>
      <c r="C437" s="64" t="str">
        <f>IF($J437=0,"",IF(INDEX('Прайс и заказ'!C:C,$J437)="","",INDEX('Прайс и заказ'!C:C,$J437)))</f>
      </c>
      <c r="D437" s="64" t="str">
        <f>IF($J437=0,"",IF(INDEX('Прайс и заказ'!D:D,$J437)="","",INDEX('Прайс и заказ'!D:D,$J437)))</f>
      </c>
      <c r="E437" s="61" t="str">
        <f>IF($J437=0,"",IF(INDEX('Прайс и заказ'!F:F,$J437)="","",INDEX('Прайс и заказ'!F:F,$J437)))</f>
      </c>
      <c r="F437" s="62" t="str">
        <f>IF($J437=0,"",IF(INDEX('Прайс и заказ'!I:I,$J437)="","",INDEX('Прайс и заказ'!I:I,$J437)))</f>
      </c>
      <c r="G437" s="63" t="str">
        <f>IF($J437=0,"",IF(INDEX('Прайс и заказ'!K:K,$J437)="","",INDEX('Прайс и заказ'!K:K,$J437)))</f>
      </c>
      <c r="H437" s="62" t="str">
        <f>IF($J437=0,"",IF(INDEX('Прайс и заказ'!L:L,$J437)="","",INDEX('Прайс и заказ'!L:L,$J437)))</f>
      </c>
      <c r="I437" s="13" t="str">
        <f>IF($J437=0,"",IF(INDEX('Прайс и заказ'!M:M,$J437)="","",INDEX('Прайс и заказ'!M:M,$J437)))</f>
      </c>
      <c r="J437" t="str">
        <f>IFERROR(MATCH(429,'Прайс и заказ'!$N$7:$N$781,0)+6,0)</f>
      </c>
    </row>
    <row r="438" spans="1:11" customHeight="1" ht="40">
      <c r="A438" s="13" t="str">
        <f>IF($J438=0,"",IFERROR(_xlfn.IMAGE(INDEX('Прайс и заказ'!$O:$O,$J438)),""))</f>
      </c>
      <c r="B438" s="61" t="str">
        <f>IF($J438=0,"",IF(INDEX('Прайс и заказ'!B:B,$J438)="","",INDEX('Прайс и заказ'!B:B,$J438)))</f>
      </c>
      <c r="C438" s="64" t="str">
        <f>IF($J438=0,"",IF(INDEX('Прайс и заказ'!C:C,$J438)="","",INDEX('Прайс и заказ'!C:C,$J438)))</f>
      </c>
      <c r="D438" s="64" t="str">
        <f>IF($J438=0,"",IF(INDEX('Прайс и заказ'!D:D,$J438)="","",INDEX('Прайс и заказ'!D:D,$J438)))</f>
      </c>
      <c r="E438" s="61" t="str">
        <f>IF($J438=0,"",IF(INDEX('Прайс и заказ'!F:F,$J438)="","",INDEX('Прайс и заказ'!F:F,$J438)))</f>
      </c>
      <c r="F438" s="62" t="str">
        <f>IF($J438=0,"",IF(INDEX('Прайс и заказ'!I:I,$J438)="","",INDEX('Прайс и заказ'!I:I,$J438)))</f>
      </c>
      <c r="G438" s="63" t="str">
        <f>IF($J438=0,"",IF(INDEX('Прайс и заказ'!K:K,$J438)="","",INDEX('Прайс и заказ'!K:K,$J438)))</f>
      </c>
      <c r="H438" s="62" t="str">
        <f>IF($J438=0,"",IF(INDEX('Прайс и заказ'!L:L,$J438)="","",INDEX('Прайс и заказ'!L:L,$J438)))</f>
      </c>
      <c r="I438" s="13" t="str">
        <f>IF($J438=0,"",IF(INDEX('Прайс и заказ'!M:M,$J438)="","",INDEX('Прайс и заказ'!M:M,$J438)))</f>
      </c>
      <c r="J438" t="str">
        <f>IFERROR(MATCH(430,'Прайс и заказ'!$N$7:$N$781,0)+6,0)</f>
      </c>
    </row>
    <row r="439" spans="1:11" customHeight="1" ht="40">
      <c r="A439" s="13" t="str">
        <f>IF($J439=0,"",IFERROR(_xlfn.IMAGE(INDEX('Прайс и заказ'!$O:$O,$J439)),""))</f>
      </c>
      <c r="B439" s="61" t="str">
        <f>IF($J439=0,"",IF(INDEX('Прайс и заказ'!B:B,$J439)="","",INDEX('Прайс и заказ'!B:B,$J439)))</f>
      </c>
      <c r="C439" s="64" t="str">
        <f>IF($J439=0,"",IF(INDEX('Прайс и заказ'!C:C,$J439)="","",INDEX('Прайс и заказ'!C:C,$J439)))</f>
      </c>
      <c r="D439" s="64" t="str">
        <f>IF($J439=0,"",IF(INDEX('Прайс и заказ'!D:D,$J439)="","",INDEX('Прайс и заказ'!D:D,$J439)))</f>
      </c>
      <c r="E439" s="61" t="str">
        <f>IF($J439=0,"",IF(INDEX('Прайс и заказ'!F:F,$J439)="","",INDEX('Прайс и заказ'!F:F,$J439)))</f>
      </c>
      <c r="F439" s="62" t="str">
        <f>IF($J439=0,"",IF(INDEX('Прайс и заказ'!I:I,$J439)="","",INDEX('Прайс и заказ'!I:I,$J439)))</f>
      </c>
      <c r="G439" s="63" t="str">
        <f>IF($J439=0,"",IF(INDEX('Прайс и заказ'!K:K,$J439)="","",INDEX('Прайс и заказ'!K:K,$J439)))</f>
      </c>
      <c r="H439" s="62" t="str">
        <f>IF($J439=0,"",IF(INDEX('Прайс и заказ'!L:L,$J439)="","",INDEX('Прайс и заказ'!L:L,$J439)))</f>
      </c>
      <c r="I439" s="13" t="str">
        <f>IF($J439=0,"",IF(INDEX('Прайс и заказ'!M:M,$J439)="","",INDEX('Прайс и заказ'!M:M,$J439)))</f>
      </c>
      <c r="J439" t="str">
        <f>IFERROR(MATCH(431,'Прайс и заказ'!$N$7:$N$781,0)+6,0)</f>
      </c>
    </row>
    <row r="440" spans="1:11" customHeight="1" ht="40">
      <c r="A440" s="13" t="str">
        <f>IF($J440=0,"",IFERROR(_xlfn.IMAGE(INDEX('Прайс и заказ'!$O:$O,$J440)),""))</f>
      </c>
      <c r="B440" s="61" t="str">
        <f>IF($J440=0,"",IF(INDEX('Прайс и заказ'!B:B,$J440)="","",INDEX('Прайс и заказ'!B:B,$J440)))</f>
      </c>
      <c r="C440" s="64" t="str">
        <f>IF($J440=0,"",IF(INDEX('Прайс и заказ'!C:C,$J440)="","",INDEX('Прайс и заказ'!C:C,$J440)))</f>
      </c>
      <c r="D440" s="64" t="str">
        <f>IF($J440=0,"",IF(INDEX('Прайс и заказ'!D:D,$J440)="","",INDEX('Прайс и заказ'!D:D,$J440)))</f>
      </c>
      <c r="E440" s="61" t="str">
        <f>IF($J440=0,"",IF(INDEX('Прайс и заказ'!F:F,$J440)="","",INDEX('Прайс и заказ'!F:F,$J440)))</f>
      </c>
      <c r="F440" s="62" t="str">
        <f>IF($J440=0,"",IF(INDEX('Прайс и заказ'!I:I,$J440)="","",INDEX('Прайс и заказ'!I:I,$J440)))</f>
      </c>
      <c r="G440" s="63" t="str">
        <f>IF($J440=0,"",IF(INDEX('Прайс и заказ'!K:K,$J440)="","",INDEX('Прайс и заказ'!K:K,$J440)))</f>
      </c>
      <c r="H440" s="62" t="str">
        <f>IF($J440=0,"",IF(INDEX('Прайс и заказ'!L:L,$J440)="","",INDEX('Прайс и заказ'!L:L,$J440)))</f>
      </c>
      <c r="I440" s="13" t="str">
        <f>IF($J440=0,"",IF(INDEX('Прайс и заказ'!M:M,$J440)="","",INDEX('Прайс и заказ'!M:M,$J440)))</f>
      </c>
      <c r="J440" t="str">
        <f>IFERROR(MATCH(432,'Прайс и заказ'!$N$7:$N$781,0)+6,0)</f>
      </c>
    </row>
    <row r="441" spans="1:11" customHeight="1" ht="40">
      <c r="A441" s="13" t="str">
        <f>IF($J441=0,"",IFERROR(_xlfn.IMAGE(INDEX('Прайс и заказ'!$O:$O,$J441)),""))</f>
      </c>
      <c r="B441" s="61" t="str">
        <f>IF($J441=0,"",IF(INDEX('Прайс и заказ'!B:B,$J441)="","",INDEX('Прайс и заказ'!B:B,$J441)))</f>
      </c>
      <c r="C441" s="64" t="str">
        <f>IF($J441=0,"",IF(INDEX('Прайс и заказ'!C:C,$J441)="","",INDEX('Прайс и заказ'!C:C,$J441)))</f>
      </c>
      <c r="D441" s="64" t="str">
        <f>IF($J441=0,"",IF(INDEX('Прайс и заказ'!D:D,$J441)="","",INDEX('Прайс и заказ'!D:D,$J441)))</f>
      </c>
      <c r="E441" s="61" t="str">
        <f>IF($J441=0,"",IF(INDEX('Прайс и заказ'!F:F,$J441)="","",INDEX('Прайс и заказ'!F:F,$J441)))</f>
      </c>
      <c r="F441" s="62" t="str">
        <f>IF($J441=0,"",IF(INDEX('Прайс и заказ'!I:I,$J441)="","",INDEX('Прайс и заказ'!I:I,$J441)))</f>
      </c>
      <c r="G441" s="63" t="str">
        <f>IF($J441=0,"",IF(INDEX('Прайс и заказ'!K:K,$J441)="","",INDEX('Прайс и заказ'!K:K,$J441)))</f>
      </c>
      <c r="H441" s="62" t="str">
        <f>IF($J441=0,"",IF(INDEX('Прайс и заказ'!L:L,$J441)="","",INDEX('Прайс и заказ'!L:L,$J441)))</f>
      </c>
      <c r="I441" s="13" t="str">
        <f>IF($J441=0,"",IF(INDEX('Прайс и заказ'!M:M,$J441)="","",INDEX('Прайс и заказ'!M:M,$J441)))</f>
      </c>
      <c r="J441" t="str">
        <f>IFERROR(MATCH(433,'Прайс и заказ'!$N$7:$N$781,0)+6,0)</f>
      </c>
    </row>
    <row r="442" spans="1:11" customHeight="1" ht="40">
      <c r="A442" s="13" t="str">
        <f>IF($J442=0,"",IFERROR(_xlfn.IMAGE(INDEX('Прайс и заказ'!$O:$O,$J442)),""))</f>
      </c>
      <c r="B442" s="61" t="str">
        <f>IF($J442=0,"",IF(INDEX('Прайс и заказ'!B:B,$J442)="","",INDEX('Прайс и заказ'!B:B,$J442)))</f>
      </c>
      <c r="C442" s="64" t="str">
        <f>IF($J442=0,"",IF(INDEX('Прайс и заказ'!C:C,$J442)="","",INDEX('Прайс и заказ'!C:C,$J442)))</f>
      </c>
      <c r="D442" s="64" t="str">
        <f>IF($J442=0,"",IF(INDEX('Прайс и заказ'!D:D,$J442)="","",INDEX('Прайс и заказ'!D:D,$J442)))</f>
      </c>
      <c r="E442" s="61" t="str">
        <f>IF($J442=0,"",IF(INDEX('Прайс и заказ'!F:F,$J442)="","",INDEX('Прайс и заказ'!F:F,$J442)))</f>
      </c>
      <c r="F442" s="62" t="str">
        <f>IF($J442=0,"",IF(INDEX('Прайс и заказ'!I:I,$J442)="","",INDEX('Прайс и заказ'!I:I,$J442)))</f>
      </c>
      <c r="G442" s="63" t="str">
        <f>IF($J442=0,"",IF(INDEX('Прайс и заказ'!K:K,$J442)="","",INDEX('Прайс и заказ'!K:K,$J442)))</f>
      </c>
      <c r="H442" s="62" t="str">
        <f>IF($J442=0,"",IF(INDEX('Прайс и заказ'!L:L,$J442)="","",INDEX('Прайс и заказ'!L:L,$J442)))</f>
      </c>
      <c r="I442" s="13" t="str">
        <f>IF($J442=0,"",IF(INDEX('Прайс и заказ'!M:M,$J442)="","",INDEX('Прайс и заказ'!M:M,$J442)))</f>
      </c>
      <c r="J442" t="str">
        <f>IFERROR(MATCH(434,'Прайс и заказ'!$N$7:$N$781,0)+6,0)</f>
      </c>
    </row>
    <row r="443" spans="1:11" customHeight="1" ht="40">
      <c r="A443" s="13" t="str">
        <f>IF($J443=0,"",IFERROR(_xlfn.IMAGE(INDEX('Прайс и заказ'!$O:$O,$J443)),""))</f>
      </c>
      <c r="B443" s="61" t="str">
        <f>IF($J443=0,"",IF(INDEX('Прайс и заказ'!B:B,$J443)="","",INDEX('Прайс и заказ'!B:B,$J443)))</f>
      </c>
      <c r="C443" s="64" t="str">
        <f>IF($J443=0,"",IF(INDEX('Прайс и заказ'!C:C,$J443)="","",INDEX('Прайс и заказ'!C:C,$J443)))</f>
      </c>
      <c r="D443" s="64" t="str">
        <f>IF($J443=0,"",IF(INDEX('Прайс и заказ'!D:D,$J443)="","",INDEX('Прайс и заказ'!D:D,$J443)))</f>
      </c>
      <c r="E443" s="61" t="str">
        <f>IF($J443=0,"",IF(INDEX('Прайс и заказ'!F:F,$J443)="","",INDEX('Прайс и заказ'!F:F,$J443)))</f>
      </c>
      <c r="F443" s="62" t="str">
        <f>IF($J443=0,"",IF(INDEX('Прайс и заказ'!I:I,$J443)="","",INDEX('Прайс и заказ'!I:I,$J443)))</f>
      </c>
      <c r="G443" s="63" t="str">
        <f>IF($J443=0,"",IF(INDEX('Прайс и заказ'!K:K,$J443)="","",INDEX('Прайс и заказ'!K:K,$J443)))</f>
      </c>
      <c r="H443" s="62" t="str">
        <f>IF($J443=0,"",IF(INDEX('Прайс и заказ'!L:L,$J443)="","",INDEX('Прайс и заказ'!L:L,$J443)))</f>
      </c>
      <c r="I443" s="13" t="str">
        <f>IF($J443=0,"",IF(INDEX('Прайс и заказ'!M:M,$J443)="","",INDEX('Прайс и заказ'!M:M,$J443)))</f>
      </c>
      <c r="J443" t="str">
        <f>IFERROR(MATCH(435,'Прайс и заказ'!$N$7:$N$781,0)+6,0)</f>
      </c>
    </row>
    <row r="444" spans="1:11" customHeight="1" ht="40">
      <c r="A444" s="13" t="str">
        <f>IF($J444=0,"",IFERROR(_xlfn.IMAGE(INDEX('Прайс и заказ'!$O:$O,$J444)),""))</f>
      </c>
      <c r="B444" s="61" t="str">
        <f>IF($J444=0,"",IF(INDEX('Прайс и заказ'!B:B,$J444)="","",INDEX('Прайс и заказ'!B:B,$J444)))</f>
      </c>
      <c r="C444" s="64" t="str">
        <f>IF($J444=0,"",IF(INDEX('Прайс и заказ'!C:C,$J444)="","",INDEX('Прайс и заказ'!C:C,$J444)))</f>
      </c>
      <c r="D444" s="64" t="str">
        <f>IF($J444=0,"",IF(INDEX('Прайс и заказ'!D:D,$J444)="","",INDEX('Прайс и заказ'!D:D,$J444)))</f>
      </c>
      <c r="E444" s="61" t="str">
        <f>IF($J444=0,"",IF(INDEX('Прайс и заказ'!F:F,$J444)="","",INDEX('Прайс и заказ'!F:F,$J444)))</f>
      </c>
      <c r="F444" s="62" t="str">
        <f>IF($J444=0,"",IF(INDEX('Прайс и заказ'!I:I,$J444)="","",INDEX('Прайс и заказ'!I:I,$J444)))</f>
      </c>
      <c r="G444" s="63" t="str">
        <f>IF($J444=0,"",IF(INDEX('Прайс и заказ'!K:K,$J444)="","",INDEX('Прайс и заказ'!K:K,$J444)))</f>
      </c>
      <c r="H444" s="62" t="str">
        <f>IF($J444=0,"",IF(INDEX('Прайс и заказ'!L:L,$J444)="","",INDEX('Прайс и заказ'!L:L,$J444)))</f>
      </c>
      <c r="I444" s="13" t="str">
        <f>IF($J444=0,"",IF(INDEX('Прайс и заказ'!M:M,$J444)="","",INDEX('Прайс и заказ'!M:M,$J444)))</f>
      </c>
      <c r="J444" t="str">
        <f>IFERROR(MATCH(436,'Прайс и заказ'!$N$7:$N$781,0)+6,0)</f>
      </c>
    </row>
    <row r="445" spans="1:11" customHeight="1" ht="40">
      <c r="A445" s="13" t="str">
        <f>IF($J445=0,"",IFERROR(_xlfn.IMAGE(INDEX('Прайс и заказ'!$O:$O,$J445)),""))</f>
      </c>
      <c r="B445" s="61" t="str">
        <f>IF($J445=0,"",IF(INDEX('Прайс и заказ'!B:B,$J445)="","",INDEX('Прайс и заказ'!B:B,$J445)))</f>
      </c>
      <c r="C445" s="64" t="str">
        <f>IF($J445=0,"",IF(INDEX('Прайс и заказ'!C:C,$J445)="","",INDEX('Прайс и заказ'!C:C,$J445)))</f>
      </c>
      <c r="D445" s="64" t="str">
        <f>IF($J445=0,"",IF(INDEX('Прайс и заказ'!D:D,$J445)="","",INDEX('Прайс и заказ'!D:D,$J445)))</f>
      </c>
      <c r="E445" s="61" t="str">
        <f>IF($J445=0,"",IF(INDEX('Прайс и заказ'!F:F,$J445)="","",INDEX('Прайс и заказ'!F:F,$J445)))</f>
      </c>
      <c r="F445" s="62" t="str">
        <f>IF($J445=0,"",IF(INDEX('Прайс и заказ'!I:I,$J445)="","",INDEX('Прайс и заказ'!I:I,$J445)))</f>
      </c>
      <c r="G445" s="63" t="str">
        <f>IF($J445=0,"",IF(INDEX('Прайс и заказ'!K:K,$J445)="","",INDEX('Прайс и заказ'!K:K,$J445)))</f>
      </c>
      <c r="H445" s="62" t="str">
        <f>IF($J445=0,"",IF(INDEX('Прайс и заказ'!L:L,$J445)="","",INDEX('Прайс и заказ'!L:L,$J445)))</f>
      </c>
      <c r="I445" s="13" t="str">
        <f>IF($J445=0,"",IF(INDEX('Прайс и заказ'!M:M,$J445)="","",INDEX('Прайс и заказ'!M:M,$J445)))</f>
      </c>
      <c r="J445" t="str">
        <f>IFERROR(MATCH(437,'Прайс и заказ'!$N$7:$N$781,0)+6,0)</f>
      </c>
    </row>
    <row r="446" spans="1:11" customHeight="1" ht="40">
      <c r="A446" s="13" t="str">
        <f>IF($J446=0,"",IFERROR(_xlfn.IMAGE(INDEX('Прайс и заказ'!$O:$O,$J446)),""))</f>
      </c>
      <c r="B446" s="61" t="str">
        <f>IF($J446=0,"",IF(INDEX('Прайс и заказ'!B:B,$J446)="","",INDEX('Прайс и заказ'!B:B,$J446)))</f>
      </c>
      <c r="C446" s="64" t="str">
        <f>IF($J446=0,"",IF(INDEX('Прайс и заказ'!C:C,$J446)="","",INDEX('Прайс и заказ'!C:C,$J446)))</f>
      </c>
      <c r="D446" s="64" t="str">
        <f>IF($J446=0,"",IF(INDEX('Прайс и заказ'!D:D,$J446)="","",INDEX('Прайс и заказ'!D:D,$J446)))</f>
      </c>
      <c r="E446" s="61" t="str">
        <f>IF($J446=0,"",IF(INDEX('Прайс и заказ'!F:F,$J446)="","",INDEX('Прайс и заказ'!F:F,$J446)))</f>
      </c>
      <c r="F446" s="62" t="str">
        <f>IF($J446=0,"",IF(INDEX('Прайс и заказ'!I:I,$J446)="","",INDEX('Прайс и заказ'!I:I,$J446)))</f>
      </c>
      <c r="G446" s="63" t="str">
        <f>IF($J446=0,"",IF(INDEX('Прайс и заказ'!K:K,$J446)="","",INDEX('Прайс и заказ'!K:K,$J446)))</f>
      </c>
      <c r="H446" s="62" t="str">
        <f>IF($J446=0,"",IF(INDEX('Прайс и заказ'!L:L,$J446)="","",INDEX('Прайс и заказ'!L:L,$J446)))</f>
      </c>
      <c r="I446" s="13" t="str">
        <f>IF($J446=0,"",IF(INDEX('Прайс и заказ'!M:M,$J446)="","",INDEX('Прайс и заказ'!M:M,$J446)))</f>
      </c>
      <c r="J446" t="str">
        <f>IFERROR(MATCH(438,'Прайс и заказ'!$N$7:$N$781,0)+6,0)</f>
      </c>
    </row>
    <row r="447" spans="1:11" customHeight="1" ht="40">
      <c r="A447" s="13" t="str">
        <f>IF($J447=0,"",IFERROR(_xlfn.IMAGE(INDEX('Прайс и заказ'!$O:$O,$J447)),""))</f>
      </c>
      <c r="B447" s="61" t="str">
        <f>IF($J447=0,"",IF(INDEX('Прайс и заказ'!B:B,$J447)="","",INDEX('Прайс и заказ'!B:B,$J447)))</f>
      </c>
      <c r="C447" s="64" t="str">
        <f>IF($J447=0,"",IF(INDEX('Прайс и заказ'!C:C,$J447)="","",INDEX('Прайс и заказ'!C:C,$J447)))</f>
      </c>
      <c r="D447" s="64" t="str">
        <f>IF($J447=0,"",IF(INDEX('Прайс и заказ'!D:D,$J447)="","",INDEX('Прайс и заказ'!D:D,$J447)))</f>
      </c>
      <c r="E447" s="61" t="str">
        <f>IF($J447=0,"",IF(INDEX('Прайс и заказ'!F:F,$J447)="","",INDEX('Прайс и заказ'!F:F,$J447)))</f>
      </c>
      <c r="F447" s="62" t="str">
        <f>IF($J447=0,"",IF(INDEX('Прайс и заказ'!I:I,$J447)="","",INDEX('Прайс и заказ'!I:I,$J447)))</f>
      </c>
      <c r="G447" s="63" t="str">
        <f>IF($J447=0,"",IF(INDEX('Прайс и заказ'!K:K,$J447)="","",INDEX('Прайс и заказ'!K:K,$J447)))</f>
      </c>
      <c r="H447" s="62" t="str">
        <f>IF($J447=0,"",IF(INDEX('Прайс и заказ'!L:L,$J447)="","",INDEX('Прайс и заказ'!L:L,$J447)))</f>
      </c>
      <c r="I447" s="13" t="str">
        <f>IF($J447=0,"",IF(INDEX('Прайс и заказ'!M:M,$J447)="","",INDEX('Прайс и заказ'!M:M,$J447)))</f>
      </c>
      <c r="J447" t="str">
        <f>IFERROR(MATCH(439,'Прайс и заказ'!$N$7:$N$781,0)+6,0)</f>
      </c>
    </row>
    <row r="448" spans="1:11" customHeight="1" ht="40">
      <c r="A448" s="13" t="str">
        <f>IF($J448=0,"",IFERROR(_xlfn.IMAGE(INDEX('Прайс и заказ'!$O:$O,$J448)),""))</f>
      </c>
      <c r="B448" s="61" t="str">
        <f>IF($J448=0,"",IF(INDEX('Прайс и заказ'!B:B,$J448)="","",INDEX('Прайс и заказ'!B:B,$J448)))</f>
      </c>
      <c r="C448" s="64" t="str">
        <f>IF($J448=0,"",IF(INDEX('Прайс и заказ'!C:C,$J448)="","",INDEX('Прайс и заказ'!C:C,$J448)))</f>
      </c>
      <c r="D448" s="64" t="str">
        <f>IF($J448=0,"",IF(INDEX('Прайс и заказ'!D:D,$J448)="","",INDEX('Прайс и заказ'!D:D,$J448)))</f>
      </c>
      <c r="E448" s="61" t="str">
        <f>IF($J448=0,"",IF(INDEX('Прайс и заказ'!F:F,$J448)="","",INDEX('Прайс и заказ'!F:F,$J448)))</f>
      </c>
      <c r="F448" s="62" t="str">
        <f>IF($J448=0,"",IF(INDEX('Прайс и заказ'!I:I,$J448)="","",INDEX('Прайс и заказ'!I:I,$J448)))</f>
      </c>
      <c r="G448" s="63" t="str">
        <f>IF($J448=0,"",IF(INDEX('Прайс и заказ'!K:K,$J448)="","",INDEX('Прайс и заказ'!K:K,$J448)))</f>
      </c>
      <c r="H448" s="62" t="str">
        <f>IF($J448=0,"",IF(INDEX('Прайс и заказ'!L:L,$J448)="","",INDEX('Прайс и заказ'!L:L,$J448)))</f>
      </c>
      <c r="I448" s="13" t="str">
        <f>IF($J448=0,"",IF(INDEX('Прайс и заказ'!M:M,$J448)="","",INDEX('Прайс и заказ'!M:M,$J448)))</f>
      </c>
      <c r="J448" t="str">
        <f>IFERROR(MATCH(440,'Прайс и заказ'!$N$7:$N$781,0)+6,0)</f>
      </c>
    </row>
    <row r="449" spans="1:11" customHeight="1" ht="40">
      <c r="A449" s="13" t="str">
        <f>IF($J449=0,"",IFERROR(_xlfn.IMAGE(INDEX('Прайс и заказ'!$O:$O,$J449)),""))</f>
      </c>
      <c r="B449" s="61" t="str">
        <f>IF($J449=0,"",IF(INDEX('Прайс и заказ'!B:B,$J449)="","",INDEX('Прайс и заказ'!B:B,$J449)))</f>
      </c>
      <c r="C449" s="64" t="str">
        <f>IF($J449=0,"",IF(INDEX('Прайс и заказ'!C:C,$J449)="","",INDEX('Прайс и заказ'!C:C,$J449)))</f>
      </c>
      <c r="D449" s="64" t="str">
        <f>IF($J449=0,"",IF(INDEX('Прайс и заказ'!D:D,$J449)="","",INDEX('Прайс и заказ'!D:D,$J449)))</f>
      </c>
      <c r="E449" s="61" t="str">
        <f>IF($J449=0,"",IF(INDEX('Прайс и заказ'!F:F,$J449)="","",INDEX('Прайс и заказ'!F:F,$J449)))</f>
      </c>
      <c r="F449" s="62" t="str">
        <f>IF($J449=0,"",IF(INDEX('Прайс и заказ'!I:I,$J449)="","",INDEX('Прайс и заказ'!I:I,$J449)))</f>
      </c>
      <c r="G449" s="63" t="str">
        <f>IF($J449=0,"",IF(INDEX('Прайс и заказ'!K:K,$J449)="","",INDEX('Прайс и заказ'!K:K,$J449)))</f>
      </c>
      <c r="H449" s="62" t="str">
        <f>IF($J449=0,"",IF(INDEX('Прайс и заказ'!L:L,$J449)="","",INDEX('Прайс и заказ'!L:L,$J449)))</f>
      </c>
      <c r="I449" s="13" t="str">
        <f>IF($J449=0,"",IF(INDEX('Прайс и заказ'!M:M,$J449)="","",INDEX('Прайс и заказ'!M:M,$J449)))</f>
      </c>
      <c r="J449" t="str">
        <f>IFERROR(MATCH(441,'Прайс и заказ'!$N$7:$N$781,0)+6,0)</f>
      </c>
    </row>
    <row r="450" spans="1:11" customHeight="1" ht="40">
      <c r="A450" s="13" t="str">
        <f>IF($J450=0,"",IFERROR(_xlfn.IMAGE(INDEX('Прайс и заказ'!$O:$O,$J450)),""))</f>
      </c>
      <c r="B450" s="61" t="str">
        <f>IF($J450=0,"",IF(INDEX('Прайс и заказ'!B:B,$J450)="","",INDEX('Прайс и заказ'!B:B,$J450)))</f>
      </c>
      <c r="C450" s="64" t="str">
        <f>IF($J450=0,"",IF(INDEX('Прайс и заказ'!C:C,$J450)="","",INDEX('Прайс и заказ'!C:C,$J450)))</f>
      </c>
      <c r="D450" s="64" t="str">
        <f>IF($J450=0,"",IF(INDEX('Прайс и заказ'!D:D,$J450)="","",INDEX('Прайс и заказ'!D:D,$J450)))</f>
      </c>
      <c r="E450" s="61" t="str">
        <f>IF($J450=0,"",IF(INDEX('Прайс и заказ'!F:F,$J450)="","",INDEX('Прайс и заказ'!F:F,$J450)))</f>
      </c>
      <c r="F450" s="62" t="str">
        <f>IF($J450=0,"",IF(INDEX('Прайс и заказ'!I:I,$J450)="","",INDEX('Прайс и заказ'!I:I,$J450)))</f>
      </c>
      <c r="G450" s="63" t="str">
        <f>IF($J450=0,"",IF(INDEX('Прайс и заказ'!K:K,$J450)="","",INDEX('Прайс и заказ'!K:K,$J450)))</f>
      </c>
      <c r="H450" s="62" t="str">
        <f>IF($J450=0,"",IF(INDEX('Прайс и заказ'!L:L,$J450)="","",INDEX('Прайс и заказ'!L:L,$J450)))</f>
      </c>
      <c r="I450" s="13" t="str">
        <f>IF($J450=0,"",IF(INDEX('Прайс и заказ'!M:M,$J450)="","",INDEX('Прайс и заказ'!M:M,$J450)))</f>
      </c>
      <c r="J450" t="str">
        <f>IFERROR(MATCH(442,'Прайс и заказ'!$N$7:$N$781,0)+6,0)</f>
      </c>
    </row>
    <row r="451" spans="1:11" customHeight="1" ht="40">
      <c r="A451" s="13" t="str">
        <f>IF($J451=0,"",IFERROR(_xlfn.IMAGE(INDEX('Прайс и заказ'!$O:$O,$J451)),""))</f>
      </c>
      <c r="B451" s="61" t="str">
        <f>IF($J451=0,"",IF(INDEX('Прайс и заказ'!B:B,$J451)="","",INDEX('Прайс и заказ'!B:B,$J451)))</f>
      </c>
      <c r="C451" s="64" t="str">
        <f>IF($J451=0,"",IF(INDEX('Прайс и заказ'!C:C,$J451)="","",INDEX('Прайс и заказ'!C:C,$J451)))</f>
      </c>
      <c r="D451" s="64" t="str">
        <f>IF($J451=0,"",IF(INDEX('Прайс и заказ'!D:D,$J451)="","",INDEX('Прайс и заказ'!D:D,$J451)))</f>
      </c>
      <c r="E451" s="61" t="str">
        <f>IF($J451=0,"",IF(INDEX('Прайс и заказ'!F:F,$J451)="","",INDEX('Прайс и заказ'!F:F,$J451)))</f>
      </c>
      <c r="F451" s="62" t="str">
        <f>IF($J451=0,"",IF(INDEX('Прайс и заказ'!I:I,$J451)="","",INDEX('Прайс и заказ'!I:I,$J451)))</f>
      </c>
      <c r="G451" s="63" t="str">
        <f>IF($J451=0,"",IF(INDEX('Прайс и заказ'!K:K,$J451)="","",INDEX('Прайс и заказ'!K:K,$J451)))</f>
      </c>
      <c r="H451" s="62" t="str">
        <f>IF($J451=0,"",IF(INDEX('Прайс и заказ'!L:L,$J451)="","",INDEX('Прайс и заказ'!L:L,$J451)))</f>
      </c>
      <c r="I451" s="13" t="str">
        <f>IF($J451=0,"",IF(INDEX('Прайс и заказ'!M:M,$J451)="","",INDEX('Прайс и заказ'!M:M,$J451)))</f>
      </c>
      <c r="J451" t="str">
        <f>IFERROR(MATCH(443,'Прайс и заказ'!$N$7:$N$781,0)+6,0)</f>
      </c>
    </row>
    <row r="452" spans="1:11" customHeight="1" ht="40">
      <c r="A452" s="13" t="str">
        <f>IF($J452=0,"",IFERROR(_xlfn.IMAGE(INDEX('Прайс и заказ'!$O:$O,$J452)),""))</f>
      </c>
      <c r="B452" s="61" t="str">
        <f>IF($J452=0,"",IF(INDEX('Прайс и заказ'!B:B,$J452)="","",INDEX('Прайс и заказ'!B:B,$J452)))</f>
      </c>
      <c r="C452" s="64" t="str">
        <f>IF($J452=0,"",IF(INDEX('Прайс и заказ'!C:C,$J452)="","",INDEX('Прайс и заказ'!C:C,$J452)))</f>
      </c>
      <c r="D452" s="64" t="str">
        <f>IF($J452=0,"",IF(INDEX('Прайс и заказ'!D:D,$J452)="","",INDEX('Прайс и заказ'!D:D,$J452)))</f>
      </c>
      <c r="E452" s="61" t="str">
        <f>IF($J452=0,"",IF(INDEX('Прайс и заказ'!F:F,$J452)="","",INDEX('Прайс и заказ'!F:F,$J452)))</f>
      </c>
      <c r="F452" s="62" t="str">
        <f>IF($J452=0,"",IF(INDEX('Прайс и заказ'!I:I,$J452)="","",INDEX('Прайс и заказ'!I:I,$J452)))</f>
      </c>
      <c r="G452" s="63" t="str">
        <f>IF($J452=0,"",IF(INDEX('Прайс и заказ'!K:K,$J452)="","",INDEX('Прайс и заказ'!K:K,$J452)))</f>
      </c>
      <c r="H452" s="62" t="str">
        <f>IF($J452=0,"",IF(INDEX('Прайс и заказ'!L:L,$J452)="","",INDEX('Прайс и заказ'!L:L,$J452)))</f>
      </c>
      <c r="I452" s="13" t="str">
        <f>IF($J452=0,"",IF(INDEX('Прайс и заказ'!M:M,$J452)="","",INDEX('Прайс и заказ'!M:M,$J452)))</f>
      </c>
      <c r="J452" t="str">
        <f>IFERROR(MATCH(444,'Прайс и заказ'!$N$7:$N$781,0)+6,0)</f>
      </c>
    </row>
    <row r="453" spans="1:11" customHeight="1" ht="40">
      <c r="A453" s="13" t="str">
        <f>IF($J453=0,"",IFERROR(_xlfn.IMAGE(INDEX('Прайс и заказ'!$O:$O,$J453)),""))</f>
      </c>
      <c r="B453" s="61" t="str">
        <f>IF($J453=0,"",IF(INDEX('Прайс и заказ'!B:B,$J453)="","",INDEX('Прайс и заказ'!B:B,$J453)))</f>
      </c>
      <c r="C453" s="64" t="str">
        <f>IF($J453=0,"",IF(INDEX('Прайс и заказ'!C:C,$J453)="","",INDEX('Прайс и заказ'!C:C,$J453)))</f>
      </c>
      <c r="D453" s="64" t="str">
        <f>IF($J453=0,"",IF(INDEX('Прайс и заказ'!D:D,$J453)="","",INDEX('Прайс и заказ'!D:D,$J453)))</f>
      </c>
      <c r="E453" s="61" t="str">
        <f>IF($J453=0,"",IF(INDEX('Прайс и заказ'!F:F,$J453)="","",INDEX('Прайс и заказ'!F:F,$J453)))</f>
      </c>
      <c r="F453" s="62" t="str">
        <f>IF($J453=0,"",IF(INDEX('Прайс и заказ'!I:I,$J453)="","",INDEX('Прайс и заказ'!I:I,$J453)))</f>
      </c>
      <c r="G453" s="63" t="str">
        <f>IF($J453=0,"",IF(INDEX('Прайс и заказ'!K:K,$J453)="","",INDEX('Прайс и заказ'!K:K,$J453)))</f>
      </c>
      <c r="H453" s="62" t="str">
        <f>IF($J453=0,"",IF(INDEX('Прайс и заказ'!L:L,$J453)="","",INDEX('Прайс и заказ'!L:L,$J453)))</f>
      </c>
      <c r="I453" s="13" t="str">
        <f>IF($J453=0,"",IF(INDEX('Прайс и заказ'!M:M,$J453)="","",INDEX('Прайс и заказ'!M:M,$J453)))</f>
      </c>
      <c r="J453" t="str">
        <f>IFERROR(MATCH(445,'Прайс и заказ'!$N$7:$N$781,0)+6,0)</f>
      </c>
    </row>
    <row r="454" spans="1:11" customHeight="1" ht="40">
      <c r="A454" s="13" t="str">
        <f>IF($J454=0,"",IFERROR(_xlfn.IMAGE(INDEX('Прайс и заказ'!$O:$O,$J454)),""))</f>
      </c>
      <c r="B454" s="61" t="str">
        <f>IF($J454=0,"",IF(INDEX('Прайс и заказ'!B:B,$J454)="","",INDEX('Прайс и заказ'!B:B,$J454)))</f>
      </c>
      <c r="C454" s="64" t="str">
        <f>IF($J454=0,"",IF(INDEX('Прайс и заказ'!C:C,$J454)="","",INDEX('Прайс и заказ'!C:C,$J454)))</f>
      </c>
      <c r="D454" s="64" t="str">
        <f>IF($J454=0,"",IF(INDEX('Прайс и заказ'!D:D,$J454)="","",INDEX('Прайс и заказ'!D:D,$J454)))</f>
      </c>
      <c r="E454" s="61" t="str">
        <f>IF($J454=0,"",IF(INDEX('Прайс и заказ'!F:F,$J454)="","",INDEX('Прайс и заказ'!F:F,$J454)))</f>
      </c>
      <c r="F454" s="62" t="str">
        <f>IF($J454=0,"",IF(INDEX('Прайс и заказ'!I:I,$J454)="","",INDEX('Прайс и заказ'!I:I,$J454)))</f>
      </c>
      <c r="G454" s="63" t="str">
        <f>IF($J454=0,"",IF(INDEX('Прайс и заказ'!K:K,$J454)="","",INDEX('Прайс и заказ'!K:K,$J454)))</f>
      </c>
      <c r="H454" s="62" t="str">
        <f>IF($J454=0,"",IF(INDEX('Прайс и заказ'!L:L,$J454)="","",INDEX('Прайс и заказ'!L:L,$J454)))</f>
      </c>
      <c r="I454" s="13" t="str">
        <f>IF($J454=0,"",IF(INDEX('Прайс и заказ'!M:M,$J454)="","",INDEX('Прайс и заказ'!M:M,$J454)))</f>
      </c>
      <c r="J454" t="str">
        <f>IFERROR(MATCH(446,'Прайс и заказ'!$N$7:$N$781,0)+6,0)</f>
      </c>
    </row>
    <row r="455" spans="1:11" customHeight="1" ht="40">
      <c r="A455" s="13" t="str">
        <f>IF($J455=0,"",IFERROR(_xlfn.IMAGE(INDEX('Прайс и заказ'!$O:$O,$J455)),""))</f>
      </c>
      <c r="B455" s="61" t="str">
        <f>IF($J455=0,"",IF(INDEX('Прайс и заказ'!B:B,$J455)="","",INDEX('Прайс и заказ'!B:B,$J455)))</f>
      </c>
      <c r="C455" s="64" t="str">
        <f>IF($J455=0,"",IF(INDEX('Прайс и заказ'!C:C,$J455)="","",INDEX('Прайс и заказ'!C:C,$J455)))</f>
      </c>
      <c r="D455" s="64" t="str">
        <f>IF($J455=0,"",IF(INDEX('Прайс и заказ'!D:D,$J455)="","",INDEX('Прайс и заказ'!D:D,$J455)))</f>
      </c>
      <c r="E455" s="61" t="str">
        <f>IF($J455=0,"",IF(INDEX('Прайс и заказ'!F:F,$J455)="","",INDEX('Прайс и заказ'!F:F,$J455)))</f>
      </c>
      <c r="F455" s="62" t="str">
        <f>IF($J455=0,"",IF(INDEX('Прайс и заказ'!I:I,$J455)="","",INDEX('Прайс и заказ'!I:I,$J455)))</f>
      </c>
      <c r="G455" s="63" t="str">
        <f>IF($J455=0,"",IF(INDEX('Прайс и заказ'!K:K,$J455)="","",INDEX('Прайс и заказ'!K:K,$J455)))</f>
      </c>
      <c r="H455" s="62" t="str">
        <f>IF($J455=0,"",IF(INDEX('Прайс и заказ'!L:L,$J455)="","",INDEX('Прайс и заказ'!L:L,$J455)))</f>
      </c>
      <c r="I455" s="13" t="str">
        <f>IF($J455=0,"",IF(INDEX('Прайс и заказ'!M:M,$J455)="","",INDEX('Прайс и заказ'!M:M,$J455)))</f>
      </c>
      <c r="J455" t="str">
        <f>IFERROR(MATCH(447,'Прайс и заказ'!$N$7:$N$781,0)+6,0)</f>
      </c>
    </row>
    <row r="456" spans="1:11" customHeight="1" ht="40">
      <c r="A456" s="13" t="str">
        <f>IF($J456=0,"",IFERROR(_xlfn.IMAGE(INDEX('Прайс и заказ'!$O:$O,$J456)),""))</f>
      </c>
      <c r="B456" s="61" t="str">
        <f>IF($J456=0,"",IF(INDEX('Прайс и заказ'!B:B,$J456)="","",INDEX('Прайс и заказ'!B:B,$J456)))</f>
      </c>
      <c r="C456" s="64" t="str">
        <f>IF($J456=0,"",IF(INDEX('Прайс и заказ'!C:C,$J456)="","",INDEX('Прайс и заказ'!C:C,$J456)))</f>
      </c>
      <c r="D456" s="64" t="str">
        <f>IF($J456=0,"",IF(INDEX('Прайс и заказ'!D:D,$J456)="","",INDEX('Прайс и заказ'!D:D,$J456)))</f>
      </c>
      <c r="E456" s="61" t="str">
        <f>IF($J456=0,"",IF(INDEX('Прайс и заказ'!F:F,$J456)="","",INDEX('Прайс и заказ'!F:F,$J456)))</f>
      </c>
      <c r="F456" s="62" t="str">
        <f>IF($J456=0,"",IF(INDEX('Прайс и заказ'!I:I,$J456)="","",INDEX('Прайс и заказ'!I:I,$J456)))</f>
      </c>
      <c r="G456" s="63" t="str">
        <f>IF($J456=0,"",IF(INDEX('Прайс и заказ'!K:K,$J456)="","",INDEX('Прайс и заказ'!K:K,$J456)))</f>
      </c>
      <c r="H456" s="62" t="str">
        <f>IF($J456=0,"",IF(INDEX('Прайс и заказ'!L:L,$J456)="","",INDEX('Прайс и заказ'!L:L,$J456)))</f>
      </c>
      <c r="I456" s="13" t="str">
        <f>IF($J456=0,"",IF(INDEX('Прайс и заказ'!M:M,$J456)="","",INDEX('Прайс и заказ'!M:M,$J456)))</f>
      </c>
      <c r="J456" t="str">
        <f>IFERROR(MATCH(448,'Прайс и заказ'!$N$7:$N$781,0)+6,0)</f>
      </c>
    </row>
    <row r="457" spans="1:11" customHeight="1" ht="40">
      <c r="A457" s="13" t="str">
        <f>IF($J457=0,"",IFERROR(_xlfn.IMAGE(INDEX('Прайс и заказ'!$O:$O,$J457)),""))</f>
      </c>
      <c r="B457" s="61" t="str">
        <f>IF($J457=0,"",IF(INDEX('Прайс и заказ'!B:B,$J457)="","",INDEX('Прайс и заказ'!B:B,$J457)))</f>
      </c>
      <c r="C457" s="64" t="str">
        <f>IF($J457=0,"",IF(INDEX('Прайс и заказ'!C:C,$J457)="","",INDEX('Прайс и заказ'!C:C,$J457)))</f>
      </c>
      <c r="D457" s="64" t="str">
        <f>IF($J457=0,"",IF(INDEX('Прайс и заказ'!D:D,$J457)="","",INDEX('Прайс и заказ'!D:D,$J457)))</f>
      </c>
      <c r="E457" s="61" t="str">
        <f>IF($J457=0,"",IF(INDEX('Прайс и заказ'!F:F,$J457)="","",INDEX('Прайс и заказ'!F:F,$J457)))</f>
      </c>
      <c r="F457" s="62" t="str">
        <f>IF($J457=0,"",IF(INDEX('Прайс и заказ'!I:I,$J457)="","",INDEX('Прайс и заказ'!I:I,$J457)))</f>
      </c>
      <c r="G457" s="63" t="str">
        <f>IF($J457=0,"",IF(INDEX('Прайс и заказ'!K:K,$J457)="","",INDEX('Прайс и заказ'!K:K,$J457)))</f>
      </c>
      <c r="H457" s="62" t="str">
        <f>IF($J457=0,"",IF(INDEX('Прайс и заказ'!L:L,$J457)="","",INDEX('Прайс и заказ'!L:L,$J457)))</f>
      </c>
      <c r="I457" s="13" t="str">
        <f>IF($J457=0,"",IF(INDEX('Прайс и заказ'!M:M,$J457)="","",INDEX('Прайс и заказ'!M:M,$J457)))</f>
      </c>
      <c r="J457" t="str">
        <f>IFERROR(MATCH(449,'Прайс и заказ'!$N$7:$N$781,0)+6,0)</f>
      </c>
    </row>
    <row r="458" spans="1:11" customHeight="1" ht="40">
      <c r="A458" s="13" t="str">
        <f>IF($J458=0,"",IFERROR(_xlfn.IMAGE(INDEX('Прайс и заказ'!$O:$O,$J458)),""))</f>
      </c>
      <c r="B458" s="61" t="str">
        <f>IF($J458=0,"",IF(INDEX('Прайс и заказ'!B:B,$J458)="","",INDEX('Прайс и заказ'!B:B,$J458)))</f>
      </c>
      <c r="C458" s="64" t="str">
        <f>IF($J458=0,"",IF(INDEX('Прайс и заказ'!C:C,$J458)="","",INDEX('Прайс и заказ'!C:C,$J458)))</f>
      </c>
      <c r="D458" s="64" t="str">
        <f>IF($J458=0,"",IF(INDEX('Прайс и заказ'!D:D,$J458)="","",INDEX('Прайс и заказ'!D:D,$J458)))</f>
      </c>
      <c r="E458" s="61" t="str">
        <f>IF($J458=0,"",IF(INDEX('Прайс и заказ'!F:F,$J458)="","",INDEX('Прайс и заказ'!F:F,$J458)))</f>
      </c>
      <c r="F458" s="62" t="str">
        <f>IF($J458=0,"",IF(INDEX('Прайс и заказ'!I:I,$J458)="","",INDEX('Прайс и заказ'!I:I,$J458)))</f>
      </c>
      <c r="G458" s="63" t="str">
        <f>IF($J458=0,"",IF(INDEX('Прайс и заказ'!K:K,$J458)="","",INDEX('Прайс и заказ'!K:K,$J458)))</f>
      </c>
      <c r="H458" s="62" t="str">
        <f>IF($J458=0,"",IF(INDEX('Прайс и заказ'!L:L,$J458)="","",INDEX('Прайс и заказ'!L:L,$J458)))</f>
      </c>
      <c r="I458" s="13" t="str">
        <f>IF($J458=0,"",IF(INDEX('Прайс и заказ'!M:M,$J458)="","",INDEX('Прайс и заказ'!M:M,$J458)))</f>
      </c>
      <c r="J458" t="str">
        <f>IFERROR(MATCH(450,'Прайс и заказ'!$N$7:$N$781,0)+6,0)</f>
      </c>
    </row>
    <row r="459" spans="1:11" customHeight="1" ht="40">
      <c r="A459" s="13" t="str">
        <f>IF($J459=0,"",IFERROR(_xlfn.IMAGE(INDEX('Прайс и заказ'!$O:$O,$J459)),""))</f>
      </c>
      <c r="B459" s="61" t="str">
        <f>IF($J459=0,"",IF(INDEX('Прайс и заказ'!B:B,$J459)="","",INDEX('Прайс и заказ'!B:B,$J459)))</f>
      </c>
      <c r="C459" s="64" t="str">
        <f>IF($J459=0,"",IF(INDEX('Прайс и заказ'!C:C,$J459)="","",INDEX('Прайс и заказ'!C:C,$J459)))</f>
      </c>
      <c r="D459" s="64" t="str">
        <f>IF($J459=0,"",IF(INDEX('Прайс и заказ'!D:D,$J459)="","",INDEX('Прайс и заказ'!D:D,$J459)))</f>
      </c>
      <c r="E459" s="61" t="str">
        <f>IF($J459=0,"",IF(INDEX('Прайс и заказ'!F:F,$J459)="","",INDEX('Прайс и заказ'!F:F,$J459)))</f>
      </c>
      <c r="F459" s="62" t="str">
        <f>IF($J459=0,"",IF(INDEX('Прайс и заказ'!I:I,$J459)="","",INDEX('Прайс и заказ'!I:I,$J459)))</f>
      </c>
      <c r="G459" s="63" t="str">
        <f>IF($J459=0,"",IF(INDEX('Прайс и заказ'!K:K,$J459)="","",INDEX('Прайс и заказ'!K:K,$J459)))</f>
      </c>
      <c r="H459" s="62" t="str">
        <f>IF($J459=0,"",IF(INDEX('Прайс и заказ'!L:L,$J459)="","",INDEX('Прайс и заказ'!L:L,$J459)))</f>
      </c>
      <c r="I459" s="13" t="str">
        <f>IF($J459=0,"",IF(INDEX('Прайс и заказ'!M:M,$J459)="","",INDEX('Прайс и заказ'!M:M,$J459)))</f>
      </c>
      <c r="J459" t="str">
        <f>IFERROR(MATCH(451,'Прайс и заказ'!$N$7:$N$781,0)+6,0)</f>
      </c>
    </row>
    <row r="460" spans="1:11" customHeight="1" ht="40">
      <c r="A460" s="13" t="str">
        <f>IF($J460=0,"",IFERROR(_xlfn.IMAGE(INDEX('Прайс и заказ'!$O:$O,$J460)),""))</f>
      </c>
      <c r="B460" s="61" t="str">
        <f>IF($J460=0,"",IF(INDEX('Прайс и заказ'!B:B,$J460)="","",INDEX('Прайс и заказ'!B:B,$J460)))</f>
      </c>
      <c r="C460" s="64" t="str">
        <f>IF($J460=0,"",IF(INDEX('Прайс и заказ'!C:C,$J460)="","",INDEX('Прайс и заказ'!C:C,$J460)))</f>
      </c>
      <c r="D460" s="64" t="str">
        <f>IF($J460=0,"",IF(INDEX('Прайс и заказ'!D:D,$J460)="","",INDEX('Прайс и заказ'!D:D,$J460)))</f>
      </c>
      <c r="E460" s="61" t="str">
        <f>IF($J460=0,"",IF(INDEX('Прайс и заказ'!F:F,$J460)="","",INDEX('Прайс и заказ'!F:F,$J460)))</f>
      </c>
      <c r="F460" s="62" t="str">
        <f>IF($J460=0,"",IF(INDEX('Прайс и заказ'!I:I,$J460)="","",INDEX('Прайс и заказ'!I:I,$J460)))</f>
      </c>
      <c r="G460" s="63" t="str">
        <f>IF($J460=0,"",IF(INDEX('Прайс и заказ'!K:K,$J460)="","",INDEX('Прайс и заказ'!K:K,$J460)))</f>
      </c>
      <c r="H460" s="62" t="str">
        <f>IF($J460=0,"",IF(INDEX('Прайс и заказ'!L:L,$J460)="","",INDEX('Прайс и заказ'!L:L,$J460)))</f>
      </c>
      <c r="I460" s="13" t="str">
        <f>IF($J460=0,"",IF(INDEX('Прайс и заказ'!M:M,$J460)="","",INDEX('Прайс и заказ'!M:M,$J460)))</f>
      </c>
      <c r="J460" t="str">
        <f>IFERROR(MATCH(452,'Прайс и заказ'!$N$7:$N$781,0)+6,0)</f>
      </c>
    </row>
    <row r="461" spans="1:11" customHeight="1" ht="40">
      <c r="A461" s="13" t="str">
        <f>IF($J461=0,"",IFERROR(_xlfn.IMAGE(INDEX('Прайс и заказ'!$O:$O,$J461)),""))</f>
      </c>
      <c r="B461" s="61" t="str">
        <f>IF($J461=0,"",IF(INDEX('Прайс и заказ'!B:B,$J461)="","",INDEX('Прайс и заказ'!B:B,$J461)))</f>
      </c>
      <c r="C461" s="64" t="str">
        <f>IF($J461=0,"",IF(INDEX('Прайс и заказ'!C:C,$J461)="","",INDEX('Прайс и заказ'!C:C,$J461)))</f>
      </c>
      <c r="D461" s="64" t="str">
        <f>IF($J461=0,"",IF(INDEX('Прайс и заказ'!D:D,$J461)="","",INDEX('Прайс и заказ'!D:D,$J461)))</f>
      </c>
      <c r="E461" s="61" t="str">
        <f>IF($J461=0,"",IF(INDEX('Прайс и заказ'!F:F,$J461)="","",INDEX('Прайс и заказ'!F:F,$J461)))</f>
      </c>
      <c r="F461" s="62" t="str">
        <f>IF($J461=0,"",IF(INDEX('Прайс и заказ'!I:I,$J461)="","",INDEX('Прайс и заказ'!I:I,$J461)))</f>
      </c>
      <c r="G461" s="63" t="str">
        <f>IF($J461=0,"",IF(INDEX('Прайс и заказ'!K:K,$J461)="","",INDEX('Прайс и заказ'!K:K,$J461)))</f>
      </c>
      <c r="H461" s="62" t="str">
        <f>IF($J461=0,"",IF(INDEX('Прайс и заказ'!L:L,$J461)="","",INDEX('Прайс и заказ'!L:L,$J461)))</f>
      </c>
      <c r="I461" s="13" t="str">
        <f>IF($J461=0,"",IF(INDEX('Прайс и заказ'!M:M,$J461)="","",INDEX('Прайс и заказ'!M:M,$J461)))</f>
      </c>
      <c r="J461" t="str">
        <f>IFERROR(MATCH(453,'Прайс и заказ'!$N$7:$N$781,0)+6,0)</f>
      </c>
    </row>
    <row r="462" spans="1:11" customHeight="1" ht="40">
      <c r="A462" s="13" t="str">
        <f>IF($J462=0,"",IFERROR(_xlfn.IMAGE(INDEX('Прайс и заказ'!$O:$O,$J462)),""))</f>
      </c>
      <c r="B462" s="61" t="str">
        <f>IF($J462=0,"",IF(INDEX('Прайс и заказ'!B:B,$J462)="","",INDEX('Прайс и заказ'!B:B,$J462)))</f>
      </c>
      <c r="C462" s="64" t="str">
        <f>IF($J462=0,"",IF(INDEX('Прайс и заказ'!C:C,$J462)="","",INDEX('Прайс и заказ'!C:C,$J462)))</f>
      </c>
      <c r="D462" s="64" t="str">
        <f>IF($J462=0,"",IF(INDEX('Прайс и заказ'!D:D,$J462)="","",INDEX('Прайс и заказ'!D:D,$J462)))</f>
      </c>
      <c r="E462" s="61" t="str">
        <f>IF($J462=0,"",IF(INDEX('Прайс и заказ'!F:F,$J462)="","",INDEX('Прайс и заказ'!F:F,$J462)))</f>
      </c>
      <c r="F462" s="62" t="str">
        <f>IF($J462=0,"",IF(INDEX('Прайс и заказ'!I:I,$J462)="","",INDEX('Прайс и заказ'!I:I,$J462)))</f>
      </c>
      <c r="G462" s="63" t="str">
        <f>IF($J462=0,"",IF(INDEX('Прайс и заказ'!K:K,$J462)="","",INDEX('Прайс и заказ'!K:K,$J462)))</f>
      </c>
      <c r="H462" s="62" t="str">
        <f>IF($J462=0,"",IF(INDEX('Прайс и заказ'!L:L,$J462)="","",INDEX('Прайс и заказ'!L:L,$J462)))</f>
      </c>
      <c r="I462" s="13" t="str">
        <f>IF($J462=0,"",IF(INDEX('Прайс и заказ'!M:M,$J462)="","",INDEX('Прайс и заказ'!M:M,$J462)))</f>
      </c>
      <c r="J462" t="str">
        <f>IFERROR(MATCH(454,'Прайс и заказ'!$N$7:$N$781,0)+6,0)</f>
      </c>
    </row>
    <row r="463" spans="1:11" customHeight="1" ht="40">
      <c r="A463" s="13" t="str">
        <f>IF($J463=0,"",IFERROR(_xlfn.IMAGE(INDEX('Прайс и заказ'!$O:$O,$J463)),""))</f>
      </c>
      <c r="B463" s="61" t="str">
        <f>IF($J463=0,"",IF(INDEX('Прайс и заказ'!B:B,$J463)="","",INDEX('Прайс и заказ'!B:B,$J463)))</f>
      </c>
      <c r="C463" s="64" t="str">
        <f>IF($J463=0,"",IF(INDEX('Прайс и заказ'!C:C,$J463)="","",INDEX('Прайс и заказ'!C:C,$J463)))</f>
      </c>
      <c r="D463" s="64" t="str">
        <f>IF($J463=0,"",IF(INDEX('Прайс и заказ'!D:D,$J463)="","",INDEX('Прайс и заказ'!D:D,$J463)))</f>
      </c>
      <c r="E463" s="61" t="str">
        <f>IF($J463=0,"",IF(INDEX('Прайс и заказ'!F:F,$J463)="","",INDEX('Прайс и заказ'!F:F,$J463)))</f>
      </c>
      <c r="F463" s="62" t="str">
        <f>IF($J463=0,"",IF(INDEX('Прайс и заказ'!I:I,$J463)="","",INDEX('Прайс и заказ'!I:I,$J463)))</f>
      </c>
      <c r="G463" s="63" t="str">
        <f>IF($J463=0,"",IF(INDEX('Прайс и заказ'!K:K,$J463)="","",INDEX('Прайс и заказ'!K:K,$J463)))</f>
      </c>
      <c r="H463" s="62" t="str">
        <f>IF($J463=0,"",IF(INDEX('Прайс и заказ'!L:L,$J463)="","",INDEX('Прайс и заказ'!L:L,$J463)))</f>
      </c>
      <c r="I463" s="13" t="str">
        <f>IF($J463=0,"",IF(INDEX('Прайс и заказ'!M:M,$J463)="","",INDEX('Прайс и заказ'!M:M,$J463)))</f>
      </c>
      <c r="J463" t="str">
        <f>IFERROR(MATCH(455,'Прайс и заказ'!$N$7:$N$781,0)+6,0)</f>
      </c>
    </row>
    <row r="464" spans="1:11" customHeight="1" ht="40">
      <c r="A464" s="13" t="str">
        <f>IF($J464=0,"",IFERROR(_xlfn.IMAGE(INDEX('Прайс и заказ'!$O:$O,$J464)),""))</f>
      </c>
      <c r="B464" s="61" t="str">
        <f>IF($J464=0,"",IF(INDEX('Прайс и заказ'!B:B,$J464)="","",INDEX('Прайс и заказ'!B:B,$J464)))</f>
      </c>
      <c r="C464" s="64" t="str">
        <f>IF($J464=0,"",IF(INDEX('Прайс и заказ'!C:C,$J464)="","",INDEX('Прайс и заказ'!C:C,$J464)))</f>
      </c>
      <c r="D464" s="64" t="str">
        <f>IF($J464=0,"",IF(INDEX('Прайс и заказ'!D:D,$J464)="","",INDEX('Прайс и заказ'!D:D,$J464)))</f>
      </c>
      <c r="E464" s="61" t="str">
        <f>IF($J464=0,"",IF(INDEX('Прайс и заказ'!F:F,$J464)="","",INDEX('Прайс и заказ'!F:F,$J464)))</f>
      </c>
      <c r="F464" s="62" t="str">
        <f>IF($J464=0,"",IF(INDEX('Прайс и заказ'!I:I,$J464)="","",INDEX('Прайс и заказ'!I:I,$J464)))</f>
      </c>
      <c r="G464" s="63" t="str">
        <f>IF($J464=0,"",IF(INDEX('Прайс и заказ'!K:K,$J464)="","",INDEX('Прайс и заказ'!K:K,$J464)))</f>
      </c>
      <c r="H464" s="62" t="str">
        <f>IF($J464=0,"",IF(INDEX('Прайс и заказ'!L:L,$J464)="","",INDEX('Прайс и заказ'!L:L,$J464)))</f>
      </c>
      <c r="I464" s="13" t="str">
        <f>IF($J464=0,"",IF(INDEX('Прайс и заказ'!M:M,$J464)="","",INDEX('Прайс и заказ'!M:M,$J464)))</f>
      </c>
      <c r="J464" t="str">
        <f>IFERROR(MATCH(456,'Прайс и заказ'!$N$7:$N$781,0)+6,0)</f>
      </c>
    </row>
    <row r="465" spans="1:11" customHeight="1" ht="40">
      <c r="A465" s="13" t="str">
        <f>IF($J465=0,"",IFERROR(_xlfn.IMAGE(INDEX('Прайс и заказ'!$O:$O,$J465)),""))</f>
      </c>
      <c r="B465" s="61" t="str">
        <f>IF($J465=0,"",IF(INDEX('Прайс и заказ'!B:B,$J465)="","",INDEX('Прайс и заказ'!B:B,$J465)))</f>
      </c>
      <c r="C465" s="64" t="str">
        <f>IF($J465=0,"",IF(INDEX('Прайс и заказ'!C:C,$J465)="","",INDEX('Прайс и заказ'!C:C,$J465)))</f>
      </c>
      <c r="D465" s="64" t="str">
        <f>IF($J465=0,"",IF(INDEX('Прайс и заказ'!D:D,$J465)="","",INDEX('Прайс и заказ'!D:D,$J465)))</f>
      </c>
      <c r="E465" s="61" t="str">
        <f>IF($J465=0,"",IF(INDEX('Прайс и заказ'!F:F,$J465)="","",INDEX('Прайс и заказ'!F:F,$J465)))</f>
      </c>
      <c r="F465" s="62" t="str">
        <f>IF($J465=0,"",IF(INDEX('Прайс и заказ'!I:I,$J465)="","",INDEX('Прайс и заказ'!I:I,$J465)))</f>
      </c>
      <c r="G465" s="63" t="str">
        <f>IF($J465=0,"",IF(INDEX('Прайс и заказ'!K:K,$J465)="","",INDEX('Прайс и заказ'!K:K,$J465)))</f>
      </c>
      <c r="H465" s="62" t="str">
        <f>IF($J465=0,"",IF(INDEX('Прайс и заказ'!L:L,$J465)="","",INDEX('Прайс и заказ'!L:L,$J465)))</f>
      </c>
      <c r="I465" s="13" t="str">
        <f>IF($J465=0,"",IF(INDEX('Прайс и заказ'!M:M,$J465)="","",INDEX('Прайс и заказ'!M:M,$J465)))</f>
      </c>
      <c r="J465" t="str">
        <f>IFERROR(MATCH(457,'Прайс и заказ'!$N$7:$N$781,0)+6,0)</f>
      </c>
    </row>
    <row r="466" spans="1:11" customHeight="1" ht="40">
      <c r="A466" s="13" t="str">
        <f>IF($J466=0,"",IFERROR(_xlfn.IMAGE(INDEX('Прайс и заказ'!$O:$O,$J466)),""))</f>
      </c>
      <c r="B466" s="61" t="str">
        <f>IF($J466=0,"",IF(INDEX('Прайс и заказ'!B:B,$J466)="","",INDEX('Прайс и заказ'!B:B,$J466)))</f>
      </c>
      <c r="C466" s="64" t="str">
        <f>IF($J466=0,"",IF(INDEX('Прайс и заказ'!C:C,$J466)="","",INDEX('Прайс и заказ'!C:C,$J466)))</f>
      </c>
      <c r="D466" s="64" t="str">
        <f>IF($J466=0,"",IF(INDEX('Прайс и заказ'!D:D,$J466)="","",INDEX('Прайс и заказ'!D:D,$J466)))</f>
      </c>
      <c r="E466" s="61" t="str">
        <f>IF($J466=0,"",IF(INDEX('Прайс и заказ'!F:F,$J466)="","",INDEX('Прайс и заказ'!F:F,$J466)))</f>
      </c>
      <c r="F466" s="62" t="str">
        <f>IF($J466=0,"",IF(INDEX('Прайс и заказ'!I:I,$J466)="","",INDEX('Прайс и заказ'!I:I,$J466)))</f>
      </c>
      <c r="G466" s="63" t="str">
        <f>IF($J466=0,"",IF(INDEX('Прайс и заказ'!K:K,$J466)="","",INDEX('Прайс и заказ'!K:K,$J466)))</f>
      </c>
      <c r="H466" s="62" t="str">
        <f>IF($J466=0,"",IF(INDEX('Прайс и заказ'!L:L,$J466)="","",INDEX('Прайс и заказ'!L:L,$J466)))</f>
      </c>
      <c r="I466" s="13" t="str">
        <f>IF($J466=0,"",IF(INDEX('Прайс и заказ'!M:M,$J466)="","",INDEX('Прайс и заказ'!M:M,$J466)))</f>
      </c>
      <c r="J466" t="str">
        <f>IFERROR(MATCH(458,'Прайс и заказ'!$N$7:$N$781,0)+6,0)</f>
      </c>
    </row>
    <row r="467" spans="1:11" customHeight="1" ht="40">
      <c r="A467" s="13" t="str">
        <f>IF($J467=0,"",IFERROR(_xlfn.IMAGE(INDEX('Прайс и заказ'!$O:$O,$J467)),""))</f>
      </c>
      <c r="B467" s="61" t="str">
        <f>IF($J467=0,"",IF(INDEX('Прайс и заказ'!B:B,$J467)="","",INDEX('Прайс и заказ'!B:B,$J467)))</f>
      </c>
      <c r="C467" s="64" t="str">
        <f>IF($J467=0,"",IF(INDEX('Прайс и заказ'!C:C,$J467)="","",INDEX('Прайс и заказ'!C:C,$J467)))</f>
      </c>
      <c r="D467" s="64" t="str">
        <f>IF($J467=0,"",IF(INDEX('Прайс и заказ'!D:D,$J467)="","",INDEX('Прайс и заказ'!D:D,$J467)))</f>
      </c>
      <c r="E467" s="61" t="str">
        <f>IF($J467=0,"",IF(INDEX('Прайс и заказ'!F:F,$J467)="","",INDEX('Прайс и заказ'!F:F,$J467)))</f>
      </c>
      <c r="F467" s="62" t="str">
        <f>IF($J467=0,"",IF(INDEX('Прайс и заказ'!I:I,$J467)="","",INDEX('Прайс и заказ'!I:I,$J467)))</f>
      </c>
      <c r="G467" s="63" t="str">
        <f>IF($J467=0,"",IF(INDEX('Прайс и заказ'!K:K,$J467)="","",INDEX('Прайс и заказ'!K:K,$J467)))</f>
      </c>
      <c r="H467" s="62" t="str">
        <f>IF($J467=0,"",IF(INDEX('Прайс и заказ'!L:L,$J467)="","",INDEX('Прайс и заказ'!L:L,$J467)))</f>
      </c>
      <c r="I467" s="13" t="str">
        <f>IF($J467=0,"",IF(INDEX('Прайс и заказ'!M:M,$J467)="","",INDEX('Прайс и заказ'!M:M,$J467)))</f>
      </c>
      <c r="J467" t="str">
        <f>IFERROR(MATCH(459,'Прайс и заказ'!$N$7:$N$781,0)+6,0)</f>
      </c>
    </row>
    <row r="468" spans="1:11" customHeight="1" ht="40">
      <c r="A468" s="13" t="str">
        <f>IF($J468=0,"",IFERROR(_xlfn.IMAGE(INDEX('Прайс и заказ'!$O:$O,$J468)),""))</f>
      </c>
      <c r="B468" s="61" t="str">
        <f>IF($J468=0,"",IF(INDEX('Прайс и заказ'!B:B,$J468)="","",INDEX('Прайс и заказ'!B:B,$J468)))</f>
      </c>
      <c r="C468" s="64" t="str">
        <f>IF($J468=0,"",IF(INDEX('Прайс и заказ'!C:C,$J468)="","",INDEX('Прайс и заказ'!C:C,$J468)))</f>
      </c>
      <c r="D468" s="64" t="str">
        <f>IF($J468=0,"",IF(INDEX('Прайс и заказ'!D:D,$J468)="","",INDEX('Прайс и заказ'!D:D,$J468)))</f>
      </c>
      <c r="E468" s="61" t="str">
        <f>IF($J468=0,"",IF(INDEX('Прайс и заказ'!F:F,$J468)="","",INDEX('Прайс и заказ'!F:F,$J468)))</f>
      </c>
      <c r="F468" s="62" t="str">
        <f>IF($J468=0,"",IF(INDEX('Прайс и заказ'!I:I,$J468)="","",INDEX('Прайс и заказ'!I:I,$J468)))</f>
      </c>
      <c r="G468" s="63" t="str">
        <f>IF($J468=0,"",IF(INDEX('Прайс и заказ'!K:K,$J468)="","",INDEX('Прайс и заказ'!K:K,$J468)))</f>
      </c>
      <c r="H468" s="62" t="str">
        <f>IF($J468=0,"",IF(INDEX('Прайс и заказ'!L:L,$J468)="","",INDEX('Прайс и заказ'!L:L,$J468)))</f>
      </c>
      <c r="I468" s="13" t="str">
        <f>IF($J468=0,"",IF(INDEX('Прайс и заказ'!M:M,$J468)="","",INDEX('Прайс и заказ'!M:M,$J468)))</f>
      </c>
      <c r="J468" t="str">
        <f>IFERROR(MATCH(460,'Прайс и заказ'!$N$7:$N$781,0)+6,0)</f>
      </c>
    </row>
    <row r="469" spans="1:11" customHeight="1" ht="40">
      <c r="A469" s="13" t="str">
        <f>IF($J469=0,"",IFERROR(_xlfn.IMAGE(INDEX('Прайс и заказ'!$O:$O,$J469)),""))</f>
      </c>
      <c r="B469" s="61" t="str">
        <f>IF($J469=0,"",IF(INDEX('Прайс и заказ'!B:B,$J469)="","",INDEX('Прайс и заказ'!B:B,$J469)))</f>
      </c>
      <c r="C469" s="64" t="str">
        <f>IF($J469=0,"",IF(INDEX('Прайс и заказ'!C:C,$J469)="","",INDEX('Прайс и заказ'!C:C,$J469)))</f>
      </c>
      <c r="D469" s="64" t="str">
        <f>IF($J469=0,"",IF(INDEX('Прайс и заказ'!D:D,$J469)="","",INDEX('Прайс и заказ'!D:D,$J469)))</f>
      </c>
      <c r="E469" s="61" t="str">
        <f>IF($J469=0,"",IF(INDEX('Прайс и заказ'!F:F,$J469)="","",INDEX('Прайс и заказ'!F:F,$J469)))</f>
      </c>
      <c r="F469" s="62" t="str">
        <f>IF($J469=0,"",IF(INDEX('Прайс и заказ'!I:I,$J469)="","",INDEX('Прайс и заказ'!I:I,$J469)))</f>
      </c>
      <c r="G469" s="63" t="str">
        <f>IF($J469=0,"",IF(INDEX('Прайс и заказ'!K:K,$J469)="","",INDEX('Прайс и заказ'!K:K,$J469)))</f>
      </c>
      <c r="H469" s="62" t="str">
        <f>IF($J469=0,"",IF(INDEX('Прайс и заказ'!L:L,$J469)="","",INDEX('Прайс и заказ'!L:L,$J469)))</f>
      </c>
      <c r="I469" s="13" t="str">
        <f>IF($J469=0,"",IF(INDEX('Прайс и заказ'!M:M,$J469)="","",INDEX('Прайс и заказ'!M:M,$J469)))</f>
      </c>
      <c r="J469" t="str">
        <f>IFERROR(MATCH(461,'Прайс и заказ'!$N$7:$N$781,0)+6,0)</f>
      </c>
    </row>
    <row r="470" spans="1:11" customHeight="1" ht="40">
      <c r="A470" s="13" t="str">
        <f>IF($J470=0,"",IFERROR(_xlfn.IMAGE(INDEX('Прайс и заказ'!$O:$O,$J470)),""))</f>
      </c>
      <c r="B470" s="61" t="str">
        <f>IF($J470=0,"",IF(INDEX('Прайс и заказ'!B:B,$J470)="","",INDEX('Прайс и заказ'!B:B,$J470)))</f>
      </c>
      <c r="C470" s="64" t="str">
        <f>IF($J470=0,"",IF(INDEX('Прайс и заказ'!C:C,$J470)="","",INDEX('Прайс и заказ'!C:C,$J470)))</f>
      </c>
      <c r="D470" s="64" t="str">
        <f>IF($J470=0,"",IF(INDEX('Прайс и заказ'!D:D,$J470)="","",INDEX('Прайс и заказ'!D:D,$J470)))</f>
      </c>
      <c r="E470" s="61" t="str">
        <f>IF($J470=0,"",IF(INDEX('Прайс и заказ'!F:F,$J470)="","",INDEX('Прайс и заказ'!F:F,$J470)))</f>
      </c>
      <c r="F470" s="62" t="str">
        <f>IF($J470=0,"",IF(INDEX('Прайс и заказ'!I:I,$J470)="","",INDEX('Прайс и заказ'!I:I,$J470)))</f>
      </c>
      <c r="G470" s="63" t="str">
        <f>IF($J470=0,"",IF(INDEX('Прайс и заказ'!K:K,$J470)="","",INDEX('Прайс и заказ'!K:K,$J470)))</f>
      </c>
      <c r="H470" s="62" t="str">
        <f>IF($J470=0,"",IF(INDEX('Прайс и заказ'!L:L,$J470)="","",INDEX('Прайс и заказ'!L:L,$J470)))</f>
      </c>
      <c r="I470" s="13" t="str">
        <f>IF($J470=0,"",IF(INDEX('Прайс и заказ'!M:M,$J470)="","",INDEX('Прайс и заказ'!M:M,$J470)))</f>
      </c>
      <c r="J470" t="str">
        <f>IFERROR(MATCH(462,'Прайс и заказ'!$N$7:$N$781,0)+6,0)</f>
      </c>
    </row>
    <row r="471" spans="1:11" customHeight="1" ht="40">
      <c r="A471" s="13" t="str">
        <f>IF($J471=0,"",IFERROR(_xlfn.IMAGE(INDEX('Прайс и заказ'!$O:$O,$J471)),""))</f>
      </c>
      <c r="B471" s="61" t="str">
        <f>IF($J471=0,"",IF(INDEX('Прайс и заказ'!B:B,$J471)="","",INDEX('Прайс и заказ'!B:B,$J471)))</f>
      </c>
      <c r="C471" s="64" t="str">
        <f>IF($J471=0,"",IF(INDEX('Прайс и заказ'!C:C,$J471)="","",INDEX('Прайс и заказ'!C:C,$J471)))</f>
      </c>
      <c r="D471" s="64" t="str">
        <f>IF($J471=0,"",IF(INDEX('Прайс и заказ'!D:D,$J471)="","",INDEX('Прайс и заказ'!D:D,$J471)))</f>
      </c>
      <c r="E471" s="61" t="str">
        <f>IF($J471=0,"",IF(INDEX('Прайс и заказ'!F:F,$J471)="","",INDEX('Прайс и заказ'!F:F,$J471)))</f>
      </c>
      <c r="F471" s="62" t="str">
        <f>IF($J471=0,"",IF(INDEX('Прайс и заказ'!I:I,$J471)="","",INDEX('Прайс и заказ'!I:I,$J471)))</f>
      </c>
      <c r="G471" s="63" t="str">
        <f>IF($J471=0,"",IF(INDEX('Прайс и заказ'!K:K,$J471)="","",INDEX('Прайс и заказ'!K:K,$J471)))</f>
      </c>
      <c r="H471" s="62" t="str">
        <f>IF($J471=0,"",IF(INDEX('Прайс и заказ'!L:L,$J471)="","",INDEX('Прайс и заказ'!L:L,$J471)))</f>
      </c>
      <c r="I471" s="13" t="str">
        <f>IF($J471=0,"",IF(INDEX('Прайс и заказ'!M:M,$J471)="","",INDEX('Прайс и заказ'!M:M,$J471)))</f>
      </c>
      <c r="J471" t="str">
        <f>IFERROR(MATCH(463,'Прайс и заказ'!$N$7:$N$781,0)+6,0)</f>
      </c>
    </row>
    <row r="472" spans="1:11" customHeight="1" ht="40">
      <c r="A472" s="13" t="str">
        <f>IF($J472=0,"",IFERROR(_xlfn.IMAGE(INDEX('Прайс и заказ'!$O:$O,$J472)),""))</f>
      </c>
      <c r="B472" s="61" t="str">
        <f>IF($J472=0,"",IF(INDEX('Прайс и заказ'!B:B,$J472)="","",INDEX('Прайс и заказ'!B:B,$J472)))</f>
      </c>
      <c r="C472" s="64" t="str">
        <f>IF($J472=0,"",IF(INDEX('Прайс и заказ'!C:C,$J472)="","",INDEX('Прайс и заказ'!C:C,$J472)))</f>
      </c>
      <c r="D472" s="64" t="str">
        <f>IF($J472=0,"",IF(INDEX('Прайс и заказ'!D:D,$J472)="","",INDEX('Прайс и заказ'!D:D,$J472)))</f>
      </c>
      <c r="E472" s="61" t="str">
        <f>IF($J472=0,"",IF(INDEX('Прайс и заказ'!F:F,$J472)="","",INDEX('Прайс и заказ'!F:F,$J472)))</f>
      </c>
      <c r="F472" s="62" t="str">
        <f>IF($J472=0,"",IF(INDEX('Прайс и заказ'!I:I,$J472)="","",INDEX('Прайс и заказ'!I:I,$J472)))</f>
      </c>
      <c r="G472" s="63" t="str">
        <f>IF($J472=0,"",IF(INDEX('Прайс и заказ'!K:K,$J472)="","",INDEX('Прайс и заказ'!K:K,$J472)))</f>
      </c>
      <c r="H472" s="62" t="str">
        <f>IF($J472=0,"",IF(INDEX('Прайс и заказ'!L:L,$J472)="","",INDEX('Прайс и заказ'!L:L,$J472)))</f>
      </c>
      <c r="I472" s="13" t="str">
        <f>IF($J472=0,"",IF(INDEX('Прайс и заказ'!M:M,$J472)="","",INDEX('Прайс и заказ'!M:M,$J472)))</f>
      </c>
      <c r="J472" t="str">
        <f>IFERROR(MATCH(464,'Прайс и заказ'!$N$7:$N$781,0)+6,0)</f>
      </c>
    </row>
    <row r="473" spans="1:11" customHeight="1" ht="40">
      <c r="A473" s="13" t="str">
        <f>IF($J473=0,"",IFERROR(_xlfn.IMAGE(INDEX('Прайс и заказ'!$O:$O,$J473)),""))</f>
      </c>
      <c r="B473" s="61" t="str">
        <f>IF($J473=0,"",IF(INDEX('Прайс и заказ'!B:B,$J473)="","",INDEX('Прайс и заказ'!B:B,$J473)))</f>
      </c>
      <c r="C473" s="64" t="str">
        <f>IF($J473=0,"",IF(INDEX('Прайс и заказ'!C:C,$J473)="","",INDEX('Прайс и заказ'!C:C,$J473)))</f>
      </c>
      <c r="D473" s="64" t="str">
        <f>IF($J473=0,"",IF(INDEX('Прайс и заказ'!D:D,$J473)="","",INDEX('Прайс и заказ'!D:D,$J473)))</f>
      </c>
      <c r="E473" s="61" t="str">
        <f>IF($J473=0,"",IF(INDEX('Прайс и заказ'!F:F,$J473)="","",INDEX('Прайс и заказ'!F:F,$J473)))</f>
      </c>
      <c r="F473" s="62" t="str">
        <f>IF($J473=0,"",IF(INDEX('Прайс и заказ'!I:I,$J473)="","",INDEX('Прайс и заказ'!I:I,$J473)))</f>
      </c>
      <c r="G473" s="63" t="str">
        <f>IF($J473=0,"",IF(INDEX('Прайс и заказ'!K:K,$J473)="","",INDEX('Прайс и заказ'!K:K,$J473)))</f>
      </c>
      <c r="H473" s="62" t="str">
        <f>IF($J473=0,"",IF(INDEX('Прайс и заказ'!L:L,$J473)="","",INDEX('Прайс и заказ'!L:L,$J473)))</f>
      </c>
      <c r="I473" s="13" t="str">
        <f>IF($J473=0,"",IF(INDEX('Прайс и заказ'!M:M,$J473)="","",INDEX('Прайс и заказ'!M:M,$J473)))</f>
      </c>
      <c r="J473" t="str">
        <f>IFERROR(MATCH(465,'Прайс и заказ'!$N$7:$N$781,0)+6,0)</f>
      </c>
    </row>
    <row r="474" spans="1:11" customHeight="1" ht="40">
      <c r="A474" s="13" t="str">
        <f>IF($J474=0,"",IFERROR(_xlfn.IMAGE(INDEX('Прайс и заказ'!$O:$O,$J474)),""))</f>
      </c>
      <c r="B474" s="61" t="str">
        <f>IF($J474=0,"",IF(INDEX('Прайс и заказ'!B:B,$J474)="","",INDEX('Прайс и заказ'!B:B,$J474)))</f>
      </c>
      <c r="C474" s="64" t="str">
        <f>IF($J474=0,"",IF(INDEX('Прайс и заказ'!C:C,$J474)="","",INDEX('Прайс и заказ'!C:C,$J474)))</f>
      </c>
      <c r="D474" s="64" t="str">
        <f>IF($J474=0,"",IF(INDEX('Прайс и заказ'!D:D,$J474)="","",INDEX('Прайс и заказ'!D:D,$J474)))</f>
      </c>
      <c r="E474" s="61" t="str">
        <f>IF($J474=0,"",IF(INDEX('Прайс и заказ'!F:F,$J474)="","",INDEX('Прайс и заказ'!F:F,$J474)))</f>
      </c>
      <c r="F474" s="62" t="str">
        <f>IF($J474=0,"",IF(INDEX('Прайс и заказ'!I:I,$J474)="","",INDEX('Прайс и заказ'!I:I,$J474)))</f>
      </c>
      <c r="G474" s="63" t="str">
        <f>IF($J474=0,"",IF(INDEX('Прайс и заказ'!K:K,$J474)="","",INDEX('Прайс и заказ'!K:K,$J474)))</f>
      </c>
      <c r="H474" s="62" t="str">
        <f>IF($J474=0,"",IF(INDEX('Прайс и заказ'!L:L,$J474)="","",INDEX('Прайс и заказ'!L:L,$J474)))</f>
      </c>
      <c r="I474" s="13" t="str">
        <f>IF($J474=0,"",IF(INDEX('Прайс и заказ'!M:M,$J474)="","",INDEX('Прайс и заказ'!M:M,$J474)))</f>
      </c>
      <c r="J474" t="str">
        <f>IFERROR(MATCH(466,'Прайс и заказ'!$N$7:$N$781,0)+6,0)</f>
      </c>
    </row>
    <row r="475" spans="1:11" customHeight="1" ht="40">
      <c r="A475" s="13" t="str">
        <f>IF($J475=0,"",IFERROR(_xlfn.IMAGE(INDEX('Прайс и заказ'!$O:$O,$J475)),""))</f>
      </c>
      <c r="B475" s="61" t="str">
        <f>IF($J475=0,"",IF(INDEX('Прайс и заказ'!B:B,$J475)="","",INDEX('Прайс и заказ'!B:B,$J475)))</f>
      </c>
      <c r="C475" s="64" t="str">
        <f>IF($J475=0,"",IF(INDEX('Прайс и заказ'!C:C,$J475)="","",INDEX('Прайс и заказ'!C:C,$J475)))</f>
      </c>
      <c r="D475" s="64" t="str">
        <f>IF($J475=0,"",IF(INDEX('Прайс и заказ'!D:D,$J475)="","",INDEX('Прайс и заказ'!D:D,$J475)))</f>
      </c>
      <c r="E475" s="61" t="str">
        <f>IF($J475=0,"",IF(INDEX('Прайс и заказ'!F:F,$J475)="","",INDEX('Прайс и заказ'!F:F,$J475)))</f>
      </c>
      <c r="F475" s="62" t="str">
        <f>IF($J475=0,"",IF(INDEX('Прайс и заказ'!I:I,$J475)="","",INDEX('Прайс и заказ'!I:I,$J475)))</f>
      </c>
      <c r="G475" s="63" t="str">
        <f>IF($J475=0,"",IF(INDEX('Прайс и заказ'!K:K,$J475)="","",INDEX('Прайс и заказ'!K:K,$J475)))</f>
      </c>
      <c r="H475" s="62" t="str">
        <f>IF($J475=0,"",IF(INDEX('Прайс и заказ'!L:L,$J475)="","",INDEX('Прайс и заказ'!L:L,$J475)))</f>
      </c>
      <c r="I475" s="13" t="str">
        <f>IF($J475=0,"",IF(INDEX('Прайс и заказ'!M:M,$J475)="","",INDEX('Прайс и заказ'!M:M,$J475)))</f>
      </c>
      <c r="J475" t="str">
        <f>IFERROR(MATCH(467,'Прайс и заказ'!$N$7:$N$781,0)+6,0)</f>
      </c>
    </row>
    <row r="476" spans="1:11" customHeight="1" ht="40">
      <c r="A476" s="13" t="str">
        <f>IF($J476=0,"",IFERROR(_xlfn.IMAGE(INDEX('Прайс и заказ'!$O:$O,$J476)),""))</f>
      </c>
      <c r="B476" s="61" t="str">
        <f>IF($J476=0,"",IF(INDEX('Прайс и заказ'!B:B,$J476)="","",INDEX('Прайс и заказ'!B:B,$J476)))</f>
      </c>
      <c r="C476" s="64" t="str">
        <f>IF($J476=0,"",IF(INDEX('Прайс и заказ'!C:C,$J476)="","",INDEX('Прайс и заказ'!C:C,$J476)))</f>
      </c>
      <c r="D476" s="64" t="str">
        <f>IF($J476=0,"",IF(INDEX('Прайс и заказ'!D:D,$J476)="","",INDEX('Прайс и заказ'!D:D,$J476)))</f>
      </c>
      <c r="E476" s="61" t="str">
        <f>IF($J476=0,"",IF(INDEX('Прайс и заказ'!F:F,$J476)="","",INDEX('Прайс и заказ'!F:F,$J476)))</f>
      </c>
      <c r="F476" s="62" t="str">
        <f>IF($J476=0,"",IF(INDEX('Прайс и заказ'!I:I,$J476)="","",INDEX('Прайс и заказ'!I:I,$J476)))</f>
      </c>
      <c r="G476" s="63" t="str">
        <f>IF($J476=0,"",IF(INDEX('Прайс и заказ'!K:K,$J476)="","",INDEX('Прайс и заказ'!K:K,$J476)))</f>
      </c>
      <c r="H476" s="62" t="str">
        <f>IF($J476=0,"",IF(INDEX('Прайс и заказ'!L:L,$J476)="","",INDEX('Прайс и заказ'!L:L,$J476)))</f>
      </c>
      <c r="I476" s="13" t="str">
        <f>IF($J476=0,"",IF(INDEX('Прайс и заказ'!M:M,$J476)="","",INDEX('Прайс и заказ'!M:M,$J476)))</f>
      </c>
      <c r="J476" t="str">
        <f>IFERROR(MATCH(468,'Прайс и заказ'!$N$7:$N$781,0)+6,0)</f>
      </c>
    </row>
    <row r="477" spans="1:11" customHeight="1" ht="40">
      <c r="A477" s="13" t="str">
        <f>IF($J477=0,"",IFERROR(_xlfn.IMAGE(INDEX('Прайс и заказ'!$O:$O,$J477)),""))</f>
      </c>
      <c r="B477" s="61" t="str">
        <f>IF($J477=0,"",IF(INDEX('Прайс и заказ'!B:B,$J477)="","",INDEX('Прайс и заказ'!B:B,$J477)))</f>
      </c>
      <c r="C477" s="64" t="str">
        <f>IF($J477=0,"",IF(INDEX('Прайс и заказ'!C:C,$J477)="","",INDEX('Прайс и заказ'!C:C,$J477)))</f>
      </c>
      <c r="D477" s="64" t="str">
        <f>IF($J477=0,"",IF(INDEX('Прайс и заказ'!D:D,$J477)="","",INDEX('Прайс и заказ'!D:D,$J477)))</f>
      </c>
      <c r="E477" s="61" t="str">
        <f>IF($J477=0,"",IF(INDEX('Прайс и заказ'!F:F,$J477)="","",INDEX('Прайс и заказ'!F:F,$J477)))</f>
      </c>
      <c r="F477" s="62" t="str">
        <f>IF($J477=0,"",IF(INDEX('Прайс и заказ'!I:I,$J477)="","",INDEX('Прайс и заказ'!I:I,$J477)))</f>
      </c>
      <c r="G477" s="63" t="str">
        <f>IF($J477=0,"",IF(INDEX('Прайс и заказ'!K:K,$J477)="","",INDEX('Прайс и заказ'!K:K,$J477)))</f>
      </c>
      <c r="H477" s="62" t="str">
        <f>IF($J477=0,"",IF(INDEX('Прайс и заказ'!L:L,$J477)="","",INDEX('Прайс и заказ'!L:L,$J477)))</f>
      </c>
      <c r="I477" s="13" t="str">
        <f>IF($J477=0,"",IF(INDEX('Прайс и заказ'!M:M,$J477)="","",INDEX('Прайс и заказ'!M:M,$J477)))</f>
      </c>
      <c r="J477" t="str">
        <f>IFERROR(MATCH(469,'Прайс и заказ'!$N$7:$N$781,0)+6,0)</f>
      </c>
    </row>
    <row r="478" spans="1:11" customHeight="1" ht="40">
      <c r="A478" s="13" t="str">
        <f>IF($J478=0,"",IFERROR(_xlfn.IMAGE(INDEX('Прайс и заказ'!$O:$O,$J478)),""))</f>
      </c>
      <c r="B478" s="61" t="str">
        <f>IF($J478=0,"",IF(INDEX('Прайс и заказ'!B:B,$J478)="","",INDEX('Прайс и заказ'!B:B,$J478)))</f>
      </c>
      <c r="C478" s="64" t="str">
        <f>IF($J478=0,"",IF(INDEX('Прайс и заказ'!C:C,$J478)="","",INDEX('Прайс и заказ'!C:C,$J478)))</f>
      </c>
      <c r="D478" s="64" t="str">
        <f>IF($J478=0,"",IF(INDEX('Прайс и заказ'!D:D,$J478)="","",INDEX('Прайс и заказ'!D:D,$J478)))</f>
      </c>
      <c r="E478" s="61" t="str">
        <f>IF($J478=0,"",IF(INDEX('Прайс и заказ'!F:F,$J478)="","",INDEX('Прайс и заказ'!F:F,$J478)))</f>
      </c>
      <c r="F478" s="62" t="str">
        <f>IF($J478=0,"",IF(INDEX('Прайс и заказ'!I:I,$J478)="","",INDEX('Прайс и заказ'!I:I,$J478)))</f>
      </c>
      <c r="G478" s="63" t="str">
        <f>IF($J478=0,"",IF(INDEX('Прайс и заказ'!K:K,$J478)="","",INDEX('Прайс и заказ'!K:K,$J478)))</f>
      </c>
      <c r="H478" s="62" t="str">
        <f>IF($J478=0,"",IF(INDEX('Прайс и заказ'!L:L,$J478)="","",INDEX('Прайс и заказ'!L:L,$J478)))</f>
      </c>
      <c r="I478" s="13" t="str">
        <f>IF($J478=0,"",IF(INDEX('Прайс и заказ'!M:M,$J478)="","",INDEX('Прайс и заказ'!M:M,$J478)))</f>
      </c>
      <c r="J478" t="str">
        <f>IFERROR(MATCH(470,'Прайс и заказ'!$N$7:$N$781,0)+6,0)</f>
      </c>
    </row>
    <row r="479" spans="1:11" customHeight="1" ht="40">
      <c r="A479" s="13" t="str">
        <f>IF($J479=0,"",IFERROR(_xlfn.IMAGE(INDEX('Прайс и заказ'!$O:$O,$J479)),""))</f>
      </c>
      <c r="B479" s="61" t="str">
        <f>IF($J479=0,"",IF(INDEX('Прайс и заказ'!B:B,$J479)="","",INDEX('Прайс и заказ'!B:B,$J479)))</f>
      </c>
      <c r="C479" s="64" t="str">
        <f>IF($J479=0,"",IF(INDEX('Прайс и заказ'!C:C,$J479)="","",INDEX('Прайс и заказ'!C:C,$J479)))</f>
      </c>
      <c r="D479" s="64" t="str">
        <f>IF($J479=0,"",IF(INDEX('Прайс и заказ'!D:D,$J479)="","",INDEX('Прайс и заказ'!D:D,$J479)))</f>
      </c>
      <c r="E479" s="61" t="str">
        <f>IF($J479=0,"",IF(INDEX('Прайс и заказ'!F:F,$J479)="","",INDEX('Прайс и заказ'!F:F,$J479)))</f>
      </c>
      <c r="F479" s="62" t="str">
        <f>IF($J479=0,"",IF(INDEX('Прайс и заказ'!I:I,$J479)="","",INDEX('Прайс и заказ'!I:I,$J479)))</f>
      </c>
      <c r="G479" s="63" t="str">
        <f>IF($J479=0,"",IF(INDEX('Прайс и заказ'!K:K,$J479)="","",INDEX('Прайс и заказ'!K:K,$J479)))</f>
      </c>
      <c r="H479" s="62" t="str">
        <f>IF($J479=0,"",IF(INDEX('Прайс и заказ'!L:L,$J479)="","",INDEX('Прайс и заказ'!L:L,$J479)))</f>
      </c>
      <c r="I479" s="13" t="str">
        <f>IF($J479=0,"",IF(INDEX('Прайс и заказ'!M:M,$J479)="","",INDEX('Прайс и заказ'!M:M,$J479)))</f>
      </c>
      <c r="J479" t="str">
        <f>IFERROR(MATCH(471,'Прайс и заказ'!$N$7:$N$781,0)+6,0)</f>
      </c>
    </row>
    <row r="480" spans="1:11" customHeight="1" ht="40">
      <c r="A480" s="13" t="str">
        <f>IF($J480=0,"",IFERROR(_xlfn.IMAGE(INDEX('Прайс и заказ'!$O:$O,$J480)),""))</f>
      </c>
      <c r="B480" s="61" t="str">
        <f>IF($J480=0,"",IF(INDEX('Прайс и заказ'!B:B,$J480)="","",INDEX('Прайс и заказ'!B:B,$J480)))</f>
      </c>
      <c r="C480" s="64" t="str">
        <f>IF($J480=0,"",IF(INDEX('Прайс и заказ'!C:C,$J480)="","",INDEX('Прайс и заказ'!C:C,$J480)))</f>
      </c>
      <c r="D480" s="64" t="str">
        <f>IF($J480=0,"",IF(INDEX('Прайс и заказ'!D:D,$J480)="","",INDEX('Прайс и заказ'!D:D,$J480)))</f>
      </c>
      <c r="E480" s="61" t="str">
        <f>IF($J480=0,"",IF(INDEX('Прайс и заказ'!F:F,$J480)="","",INDEX('Прайс и заказ'!F:F,$J480)))</f>
      </c>
      <c r="F480" s="62" t="str">
        <f>IF($J480=0,"",IF(INDEX('Прайс и заказ'!I:I,$J480)="","",INDEX('Прайс и заказ'!I:I,$J480)))</f>
      </c>
      <c r="G480" s="63" t="str">
        <f>IF($J480=0,"",IF(INDEX('Прайс и заказ'!K:K,$J480)="","",INDEX('Прайс и заказ'!K:K,$J480)))</f>
      </c>
      <c r="H480" s="62" t="str">
        <f>IF($J480=0,"",IF(INDEX('Прайс и заказ'!L:L,$J480)="","",INDEX('Прайс и заказ'!L:L,$J480)))</f>
      </c>
      <c r="I480" s="13" t="str">
        <f>IF($J480=0,"",IF(INDEX('Прайс и заказ'!M:M,$J480)="","",INDEX('Прайс и заказ'!M:M,$J480)))</f>
      </c>
      <c r="J480" t="str">
        <f>IFERROR(MATCH(472,'Прайс и заказ'!$N$7:$N$781,0)+6,0)</f>
      </c>
    </row>
    <row r="481" spans="1:11" customHeight="1" ht="40">
      <c r="A481" s="13" t="str">
        <f>IF($J481=0,"",IFERROR(_xlfn.IMAGE(INDEX('Прайс и заказ'!$O:$O,$J481)),""))</f>
      </c>
      <c r="B481" s="61" t="str">
        <f>IF($J481=0,"",IF(INDEX('Прайс и заказ'!B:B,$J481)="","",INDEX('Прайс и заказ'!B:B,$J481)))</f>
      </c>
      <c r="C481" s="64" t="str">
        <f>IF($J481=0,"",IF(INDEX('Прайс и заказ'!C:C,$J481)="","",INDEX('Прайс и заказ'!C:C,$J481)))</f>
      </c>
      <c r="D481" s="64" t="str">
        <f>IF($J481=0,"",IF(INDEX('Прайс и заказ'!D:D,$J481)="","",INDEX('Прайс и заказ'!D:D,$J481)))</f>
      </c>
      <c r="E481" s="61" t="str">
        <f>IF($J481=0,"",IF(INDEX('Прайс и заказ'!F:F,$J481)="","",INDEX('Прайс и заказ'!F:F,$J481)))</f>
      </c>
      <c r="F481" s="62" t="str">
        <f>IF($J481=0,"",IF(INDEX('Прайс и заказ'!I:I,$J481)="","",INDEX('Прайс и заказ'!I:I,$J481)))</f>
      </c>
      <c r="G481" s="63" t="str">
        <f>IF($J481=0,"",IF(INDEX('Прайс и заказ'!K:K,$J481)="","",INDEX('Прайс и заказ'!K:K,$J481)))</f>
      </c>
      <c r="H481" s="62" t="str">
        <f>IF($J481=0,"",IF(INDEX('Прайс и заказ'!L:L,$J481)="","",INDEX('Прайс и заказ'!L:L,$J481)))</f>
      </c>
      <c r="I481" s="13" t="str">
        <f>IF($J481=0,"",IF(INDEX('Прайс и заказ'!M:M,$J481)="","",INDEX('Прайс и заказ'!M:M,$J481)))</f>
      </c>
      <c r="J481" t="str">
        <f>IFERROR(MATCH(473,'Прайс и заказ'!$N$7:$N$781,0)+6,0)</f>
      </c>
    </row>
    <row r="482" spans="1:11" customHeight="1" ht="40">
      <c r="A482" s="13" t="str">
        <f>IF($J482=0,"",IFERROR(_xlfn.IMAGE(INDEX('Прайс и заказ'!$O:$O,$J482)),""))</f>
      </c>
      <c r="B482" s="61" t="str">
        <f>IF($J482=0,"",IF(INDEX('Прайс и заказ'!B:B,$J482)="","",INDEX('Прайс и заказ'!B:B,$J482)))</f>
      </c>
      <c r="C482" s="64" t="str">
        <f>IF($J482=0,"",IF(INDEX('Прайс и заказ'!C:C,$J482)="","",INDEX('Прайс и заказ'!C:C,$J482)))</f>
      </c>
      <c r="D482" s="64" t="str">
        <f>IF($J482=0,"",IF(INDEX('Прайс и заказ'!D:D,$J482)="","",INDEX('Прайс и заказ'!D:D,$J482)))</f>
      </c>
      <c r="E482" s="61" t="str">
        <f>IF($J482=0,"",IF(INDEX('Прайс и заказ'!F:F,$J482)="","",INDEX('Прайс и заказ'!F:F,$J482)))</f>
      </c>
      <c r="F482" s="62" t="str">
        <f>IF($J482=0,"",IF(INDEX('Прайс и заказ'!I:I,$J482)="","",INDEX('Прайс и заказ'!I:I,$J482)))</f>
      </c>
      <c r="G482" s="63" t="str">
        <f>IF($J482=0,"",IF(INDEX('Прайс и заказ'!K:K,$J482)="","",INDEX('Прайс и заказ'!K:K,$J482)))</f>
      </c>
      <c r="H482" s="62" t="str">
        <f>IF($J482=0,"",IF(INDEX('Прайс и заказ'!L:L,$J482)="","",INDEX('Прайс и заказ'!L:L,$J482)))</f>
      </c>
      <c r="I482" s="13" t="str">
        <f>IF($J482=0,"",IF(INDEX('Прайс и заказ'!M:M,$J482)="","",INDEX('Прайс и заказ'!M:M,$J482)))</f>
      </c>
      <c r="J482" t="str">
        <f>IFERROR(MATCH(474,'Прайс и заказ'!$N$7:$N$781,0)+6,0)</f>
      </c>
    </row>
    <row r="483" spans="1:11" customHeight="1" ht="40">
      <c r="A483" s="13" t="str">
        <f>IF($J483=0,"",IFERROR(_xlfn.IMAGE(INDEX('Прайс и заказ'!$O:$O,$J483)),""))</f>
      </c>
      <c r="B483" s="61" t="str">
        <f>IF($J483=0,"",IF(INDEX('Прайс и заказ'!B:B,$J483)="","",INDEX('Прайс и заказ'!B:B,$J483)))</f>
      </c>
      <c r="C483" s="64" t="str">
        <f>IF($J483=0,"",IF(INDEX('Прайс и заказ'!C:C,$J483)="","",INDEX('Прайс и заказ'!C:C,$J483)))</f>
      </c>
      <c r="D483" s="64" t="str">
        <f>IF($J483=0,"",IF(INDEX('Прайс и заказ'!D:D,$J483)="","",INDEX('Прайс и заказ'!D:D,$J483)))</f>
      </c>
      <c r="E483" s="61" t="str">
        <f>IF($J483=0,"",IF(INDEX('Прайс и заказ'!F:F,$J483)="","",INDEX('Прайс и заказ'!F:F,$J483)))</f>
      </c>
      <c r="F483" s="62" t="str">
        <f>IF($J483=0,"",IF(INDEX('Прайс и заказ'!I:I,$J483)="","",INDEX('Прайс и заказ'!I:I,$J483)))</f>
      </c>
      <c r="G483" s="63" t="str">
        <f>IF($J483=0,"",IF(INDEX('Прайс и заказ'!K:K,$J483)="","",INDEX('Прайс и заказ'!K:K,$J483)))</f>
      </c>
      <c r="H483" s="62" t="str">
        <f>IF($J483=0,"",IF(INDEX('Прайс и заказ'!L:L,$J483)="","",INDEX('Прайс и заказ'!L:L,$J483)))</f>
      </c>
      <c r="I483" s="13" t="str">
        <f>IF($J483=0,"",IF(INDEX('Прайс и заказ'!M:M,$J483)="","",INDEX('Прайс и заказ'!M:M,$J483)))</f>
      </c>
      <c r="J483" t="str">
        <f>IFERROR(MATCH(475,'Прайс и заказ'!$N$7:$N$781,0)+6,0)</f>
      </c>
    </row>
    <row r="484" spans="1:11" customHeight="1" ht="40">
      <c r="A484" s="13" t="str">
        <f>IF($J484=0,"",IFERROR(_xlfn.IMAGE(INDEX('Прайс и заказ'!$O:$O,$J484)),""))</f>
      </c>
      <c r="B484" s="61" t="str">
        <f>IF($J484=0,"",IF(INDEX('Прайс и заказ'!B:B,$J484)="","",INDEX('Прайс и заказ'!B:B,$J484)))</f>
      </c>
      <c r="C484" s="64" t="str">
        <f>IF($J484=0,"",IF(INDEX('Прайс и заказ'!C:C,$J484)="","",INDEX('Прайс и заказ'!C:C,$J484)))</f>
      </c>
      <c r="D484" s="64" t="str">
        <f>IF($J484=0,"",IF(INDEX('Прайс и заказ'!D:D,$J484)="","",INDEX('Прайс и заказ'!D:D,$J484)))</f>
      </c>
      <c r="E484" s="61" t="str">
        <f>IF($J484=0,"",IF(INDEX('Прайс и заказ'!F:F,$J484)="","",INDEX('Прайс и заказ'!F:F,$J484)))</f>
      </c>
      <c r="F484" s="62" t="str">
        <f>IF($J484=0,"",IF(INDEX('Прайс и заказ'!I:I,$J484)="","",INDEX('Прайс и заказ'!I:I,$J484)))</f>
      </c>
      <c r="G484" s="63" t="str">
        <f>IF($J484=0,"",IF(INDEX('Прайс и заказ'!K:K,$J484)="","",INDEX('Прайс и заказ'!K:K,$J484)))</f>
      </c>
      <c r="H484" s="62" t="str">
        <f>IF($J484=0,"",IF(INDEX('Прайс и заказ'!L:L,$J484)="","",INDEX('Прайс и заказ'!L:L,$J484)))</f>
      </c>
      <c r="I484" s="13" t="str">
        <f>IF($J484=0,"",IF(INDEX('Прайс и заказ'!M:M,$J484)="","",INDEX('Прайс и заказ'!M:M,$J484)))</f>
      </c>
      <c r="J484" t="str">
        <f>IFERROR(MATCH(476,'Прайс и заказ'!$N$7:$N$781,0)+6,0)</f>
      </c>
    </row>
    <row r="485" spans="1:11" customHeight="1" ht="40">
      <c r="A485" s="13" t="str">
        <f>IF($J485=0,"",IFERROR(_xlfn.IMAGE(INDEX('Прайс и заказ'!$O:$O,$J485)),""))</f>
      </c>
      <c r="B485" s="61" t="str">
        <f>IF($J485=0,"",IF(INDEX('Прайс и заказ'!B:B,$J485)="","",INDEX('Прайс и заказ'!B:B,$J485)))</f>
      </c>
      <c r="C485" s="64" t="str">
        <f>IF($J485=0,"",IF(INDEX('Прайс и заказ'!C:C,$J485)="","",INDEX('Прайс и заказ'!C:C,$J485)))</f>
      </c>
      <c r="D485" s="64" t="str">
        <f>IF($J485=0,"",IF(INDEX('Прайс и заказ'!D:D,$J485)="","",INDEX('Прайс и заказ'!D:D,$J485)))</f>
      </c>
      <c r="E485" s="61" t="str">
        <f>IF($J485=0,"",IF(INDEX('Прайс и заказ'!F:F,$J485)="","",INDEX('Прайс и заказ'!F:F,$J485)))</f>
      </c>
      <c r="F485" s="62" t="str">
        <f>IF($J485=0,"",IF(INDEX('Прайс и заказ'!I:I,$J485)="","",INDEX('Прайс и заказ'!I:I,$J485)))</f>
      </c>
      <c r="G485" s="63" t="str">
        <f>IF($J485=0,"",IF(INDEX('Прайс и заказ'!K:K,$J485)="","",INDEX('Прайс и заказ'!K:K,$J485)))</f>
      </c>
      <c r="H485" s="62" t="str">
        <f>IF($J485=0,"",IF(INDEX('Прайс и заказ'!L:L,$J485)="","",INDEX('Прайс и заказ'!L:L,$J485)))</f>
      </c>
      <c r="I485" s="13" t="str">
        <f>IF($J485=0,"",IF(INDEX('Прайс и заказ'!M:M,$J485)="","",INDEX('Прайс и заказ'!M:M,$J485)))</f>
      </c>
      <c r="J485" t="str">
        <f>IFERROR(MATCH(477,'Прайс и заказ'!$N$7:$N$781,0)+6,0)</f>
      </c>
    </row>
    <row r="486" spans="1:11" customHeight="1" ht="40">
      <c r="A486" s="13" t="str">
        <f>IF($J486=0,"",IFERROR(_xlfn.IMAGE(INDEX('Прайс и заказ'!$O:$O,$J486)),""))</f>
      </c>
      <c r="B486" s="61" t="str">
        <f>IF($J486=0,"",IF(INDEX('Прайс и заказ'!B:B,$J486)="","",INDEX('Прайс и заказ'!B:B,$J486)))</f>
      </c>
      <c r="C486" s="64" t="str">
        <f>IF($J486=0,"",IF(INDEX('Прайс и заказ'!C:C,$J486)="","",INDEX('Прайс и заказ'!C:C,$J486)))</f>
      </c>
      <c r="D486" s="64" t="str">
        <f>IF($J486=0,"",IF(INDEX('Прайс и заказ'!D:D,$J486)="","",INDEX('Прайс и заказ'!D:D,$J486)))</f>
      </c>
      <c r="E486" s="61" t="str">
        <f>IF($J486=0,"",IF(INDEX('Прайс и заказ'!F:F,$J486)="","",INDEX('Прайс и заказ'!F:F,$J486)))</f>
      </c>
      <c r="F486" s="62" t="str">
        <f>IF($J486=0,"",IF(INDEX('Прайс и заказ'!I:I,$J486)="","",INDEX('Прайс и заказ'!I:I,$J486)))</f>
      </c>
      <c r="G486" s="63" t="str">
        <f>IF($J486=0,"",IF(INDEX('Прайс и заказ'!K:K,$J486)="","",INDEX('Прайс и заказ'!K:K,$J486)))</f>
      </c>
      <c r="H486" s="62" t="str">
        <f>IF($J486=0,"",IF(INDEX('Прайс и заказ'!L:L,$J486)="","",INDEX('Прайс и заказ'!L:L,$J486)))</f>
      </c>
      <c r="I486" s="13" t="str">
        <f>IF($J486=0,"",IF(INDEX('Прайс и заказ'!M:M,$J486)="","",INDEX('Прайс и заказ'!M:M,$J486)))</f>
      </c>
      <c r="J486" t="str">
        <f>IFERROR(MATCH(478,'Прайс и заказ'!$N$7:$N$781,0)+6,0)</f>
      </c>
    </row>
    <row r="487" spans="1:11" customHeight="1" ht="40">
      <c r="A487" s="13" t="str">
        <f>IF($J487=0,"",IFERROR(_xlfn.IMAGE(INDEX('Прайс и заказ'!$O:$O,$J487)),""))</f>
      </c>
      <c r="B487" s="61" t="str">
        <f>IF($J487=0,"",IF(INDEX('Прайс и заказ'!B:B,$J487)="","",INDEX('Прайс и заказ'!B:B,$J487)))</f>
      </c>
      <c r="C487" s="64" t="str">
        <f>IF($J487=0,"",IF(INDEX('Прайс и заказ'!C:C,$J487)="","",INDEX('Прайс и заказ'!C:C,$J487)))</f>
      </c>
      <c r="D487" s="64" t="str">
        <f>IF($J487=0,"",IF(INDEX('Прайс и заказ'!D:D,$J487)="","",INDEX('Прайс и заказ'!D:D,$J487)))</f>
      </c>
      <c r="E487" s="61" t="str">
        <f>IF($J487=0,"",IF(INDEX('Прайс и заказ'!F:F,$J487)="","",INDEX('Прайс и заказ'!F:F,$J487)))</f>
      </c>
      <c r="F487" s="62" t="str">
        <f>IF($J487=0,"",IF(INDEX('Прайс и заказ'!I:I,$J487)="","",INDEX('Прайс и заказ'!I:I,$J487)))</f>
      </c>
      <c r="G487" s="63" t="str">
        <f>IF($J487=0,"",IF(INDEX('Прайс и заказ'!K:K,$J487)="","",INDEX('Прайс и заказ'!K:K,$J487)))</f>
      </c>
      <c r="H487" s="62" t="str">
        <f>IF($J487=0,"",IF(INDEX('Прайс и заказ'!L:L,$J487)="","",INDEX('Прайс и заказ'!L:L,$J487)))</f>
      </c>
      <c r="I487" s="13" t="str">
        <f>IF($J487=0,"",IF(INDEX('Прайс и заказ'!M:M,$J487)="","",INDEX('Прайс и заказ'!M:M,$J487)))</f>
      </c>
      <c r="J487" t="str">
        <f>IFERROR(MATCH(479,'Прайс и заказ'!$N$7:$N$781,0)+6,0)</f>
      </c>
    </row>
    <row r="488" spans="1:11" customHeight="1" ht="40">
      <c r="A488" s="13" t="str">
        <f>IF($J488=0,"",IFERROR(_xlfn.IMAGE(INDEX('Прайс и заказ'!$O:$O,$J488)),""))</f>
      </c>
      <c r="B488" s="61" t="str">
        <f>IF($J488=0,"",IF(INDEX('Прайс и заказ'!B:B,$J488)="","",INDEX('Прайс и заказ'!B:B,$J488)))</f>
      </c>
      <c r="C488" s="64" t="str">
        <f>IF($J488=0,"",IF(INDEX('Прайс и заказ'!C:C,$J488)="","",INDEX('Прайс и заказ'!C:C,$J488)))</f>
      </c>
      <c r="D488" s="64" t="str">
        <f>IF($J488=0,"",IF(INDEX('Прайс и заказ'!D:D,$J488)="","",INDEX('Прайс и заказ'!D:D,$J488)))</f>
      </c>
      <c r="E488" s="61" t="str">
        <f>IF($J488=0,"",IF(INDEX('Прайс и заказ'!F:F,$J488)="","",INDEX('Прайс и заказ'!F:F,$J488)))</f>
      </c>
      <c r="F488" s="62" t="str">
        <f>IF($J488=0,"",IF(INDEX('Прайс и заказ'!I:I,$J488)="","",INDEX('Прайс и заказ'!I:I,$J488)))</f>
      </c>
      <c r="G488" s="63" t="str">
        <f>IF($J488=0,"",IF(INDEX('Прайс и заказ'!K:K,$J488)="","",INDEX('Прайс и заказ'!K:K,$J488)))</f>
      </c>
      <c r="H488" s="62" t="str">
        <f>IF($J488=0,"",IF(INDEX('Прайс и заказ'!L:L,$J488)="","",INDEX('Прайс и заказ'!L:L,$J488)))</f>
      </c>
      <c r="I488" s="13" t="str">
        <f>IF($J488=0,"",IF(INDEX('Прайс и заказ'!M:M,$J488)="","",INDEX('Прайс и заказ'!M:M,$J488)))</f>
      </c>
      <c r="J488" t="str">
        <f>IFERROR(MATCH(480,'Прайс и заказ'!$N$7:$N$781,0)+6,0)</f>
      </c>
    </row>
    <row r="489" spans="1:11" customHeight="1" ht="40">
      <c r="A489" s="13" t="str">
        <f>IF($J489=0,"",IFERROR(_xlfn.IMAGE(INDEX('Прайс и заказ'!$O:$O,$J489)),""))</f>
      </c>
      <c r="B489" s="61" t="str">
        <f>IF($J489=0,"",IF(INDEX('Прайс и заказ'!B:B,$J489)="","",INDEX('Прайс и заказ'!B:B,$J489)))</f>
      </c>
      <c r="C489" s="64" t="str">
        <f>IF($J489=0,"",IF(INDEX('Прайс и заказ'!C:C,$J489)="","",INDEX('Прайс и заказ'!C:C,$J489)))</f>
      </c>
      <c r="D489" s="64" t="str">
        <f>IF($J489=0,"",IF(INDEX('Прайс и заказ'!D:D,$J489)="","",INDEX('Прайс и заказ'!D:D,$J489)))</f>
      </c>
      <c r="E489" s="61" t="str">
        <f>IF($J489=0,"",IF(INDEX('Прайс и заказ'!F:F,$J489)="","",INDEX('Прайс и заказ'!F:F,$J489)))</f>
      </c>
      <c r="F489" s="62" t="str">
        <f>IF($J489=0,"",IF(INDEX('Прайс и заказ'!I:I,$J489)="","",INDEX('Прайс и заказ'!I:I,$J489)))</f>
      </c>
      <c r="G489" s="63" t="str">
        <f>IF($J489=0,"",IF(INDEX('Прайс и заказ'!K:K,$J489)="","",INDEX('Прайс и заказ'!K:K,$J489)))</f>
      </c>
      <c r="H489" s="62" t="str">
        <f>IF($J489=0,"",IF(INDEX('Прайс и заказ'!L:L,$J489)="","",INDEX('Прайс и заказ'!L:L,$J489)))</f>
      </c>
      <c r="I489" s="13" t="str">
        <f>IF($J489=0,"",IF(INDEX('Прайс и заказ'!M:M,$J489)="","",INDEX('Прайс и заказ'!M:M,$J489)))</f>
      </c>
      <c r="J489" t="str">
        <f>IFERROR(MATCH(481,'Прайс и заказ'!$N$7:$N$781,0)+6,0)</f>
      </c>
    </row>
    <row r="490" spans="1:11" customHeight="1" ht="40">
      <c r="A490" s="13" t="str">
        <f>IF($J490=0,"",IFERROR(_xlfn.IMAGE(INDEX('Прайс и заказ'!$O:$O,$J490)),""))</f>
      </c>
      <c r="B490" s="61" t="str">
        <f>IF($J490=0,"",IF(INDEX('Прайс и заказ'!B:B,$J490)="","",INDEX('Прайс и заказ'!B:B,$J490)))</f>
      </c>
      <c r="C490" s="64" t="str">
        <f>IF($J490=0,"",IF(INDEX('Прайс и заказ'!C:C,$J490)="","",INDEX('Прайс и заказ'!C:C,$J490)))</f>
      </c>
      <c r="D490" s="64" t="str">
        <f>IF($J490=0,"",IF(INDEX('Прайс и заказ'!D:D,$J490)="","",INDEX('Прайс и заказ'!D:D,$J490)))</f>
      </c>
      <c r="E490" s="61" t="str">
        <f>IF($J490=0,"",IF(INDEX('Прайс и заказ'!F:F,$J490)="","",INDEX('Прайс и заказ'!F:F,$J490)))</f>
      </c>
      <c r="F490" s="62" t="str">
        <f>IF($J490=0,"",IF(INDEX('Прайс и заказ'!I:I,$J490)="","",INDEX('Прайс и заказ'!I:I,$J490)))</f>
      </c>
      <c r="G490" s="63" t="str">
        <f>IF($J490=0,"",IF(INDEX('Прайс и заказ'!K:K,$J490)="","",INDEX('Прайс и заказ'!K:K,$J490)))</f>
      </c>
      <c r="H490" s="62" t="str">
        <f>IF($J490=0,"",IF(INDEX('Прайс и заказ'!L:L,$J490)="","",INDEX('Прайс и заказ'!L:L,$J490)))</f>
      </c>
      <c r="I490" s="13" t="str">
        <f>IF($J490=0,"",IF(INDEX('Прайс и заказ'!M:M,$J490)="","",INDEX('Прайс и заказ'!M:M,$J490)))</f>
      </c>
      <c r="J490" t="str">
        <f>IFERROR(MATCH(482,'Прайс и заказ'!$N$7:$N$781,0)+6,0)</f>
      </c>
    </row>
    <row r="491" spans="1:11" customHeight="1" ht="40">
      <c r="A491" s="13" t="str">
        <f>IF($J491=0,"",IFERROR(_xlfn.IMAGE(INDEX('Прайс и заказ'!$O:$O,$J491)),""))</f>
      </c>
      <c r="B491" s="61" t="str">
        <f>IF($J491=0,"",IF(INDEX('Прайс и заказ'!B:B,$J491)="","",INDEX('Прайс и заказ'!B:B,$J491)))</f>
      </c>
      <c r="C491" s="64" t="str">
        <f>IF($J491=0,"",IF(INDEX('Прайс и заказ'!C:C,$J491)="","",INDEX('Прайс и заказ'!C:C,$J491)))</f>
      </c>
      <c r="D491" s="64" t="str">
        <f>IF($J491=0,"",IF(INDEX('Прайс и заказ'!D:D,$J491)="","",INDEX('Прайс и заказ'!D:D,$J491)))</f>
      </c>
      <c r="E491" s="61" t="str">
        <f>IF($J491=0,"",IF(INDEX('Прайс и заказ'!F:F,$J491)="","",INDEX('Прайс и заказ'!F:F,$J491)))</f>
      </c>
      <c r="F491" s="62" t="str">
        <f>IF($J491=0,"",IF(INDEX('Прайс и заказ'!I:I,$J491)="","",INDEX('Прайс и заказ'!I:I,$J491)))</f>
      </c>
      <c r="G491" s="63" t="str">
        <f>IF($J491=0,"",IF(INDEX('Прайс и заказ'!K:K,$J491)="","",INDEX('Прайс и заказ'!K:K,$J491)))</f>
      </c>
      <c r="H491" s="62" t="str">
        <f>IF($J491=0,"",IF(INDEX('Прайс и заказ'!L:L,$J491)="","",INDEX('Прайс и заказ'!L:L,$J491)))</f>
      </c>
      <c r="I491" s="13" t="str">
        <f>IF($J491=0,"",IF(INDEX('Прайс и заказ'!M:M,$J491)="","",INDEX('Прайс и заказ'!M:M,$J491)))</f>
      </c>
      <c r="J491" t="str">
        <f>IFERROR(MATCH(483,'Прайс и заказ'!$N$7:$N$781,0)+6,0)</f>
      </c>
    </row>
    <row r="492" spans="1:11" customHeight="1" ht="40">
      <c r="A492" s="13" t="str">
        <f>IF($J492=0,"",IFERROR(_xlfn.IMAGE(INDEX('Прайс и заказ'!$O:$O,$J492)),""))</f>
      </c>
      <c r="B492" s="61" t="str">
        <f>IF($J492=0,"",IF(INDEX('Прайс и заказ'!B:B,$J492)="","",INDEX('Прайс и заказ'!B:B,$J492)))</f>
      </c>
      <c r="C492" s="64" t="str">
        <f>IF($J492=0,"",IF(INDEX('Прайс и заказ'!C:C,$J492)="","",INDEX('Прайс и заказ'!C:C,$J492)))</f>
      </c>
      <c r="D492" s="64" t="str">
        <f>IF($J492=0,"",IF(INDEX('Прайс и заказ'!D:D,$J492)="","",INDEX('Прайс и заказ'!D:D,$J492)))</f>
      </c>
      <c r="E492" s="61" t="str">
        <f>IF($J492=0,"",IF(INDEX('Прайс и заказ'!F:F,$J492)="","",INDEX('Прайс и заказ'!F:F,$J492)))</f>
      </c>
      <c r="F492" s="62" t="str">
        <f>IF($J492=0,"",IF(INDEX('Прайс и заказ'!I:I,$J492)="","",INDEX('Прайс и заказ'!I:I,$J492)))</f>
      </c>
      <c r="G492" s="63" t="str">
        <f>IF($J492=0,"",IF(INDEX('Прайс и заказ'!K:K,$J492)="","",INDEX('Прайс и заказ'!K:K,$J492)))</f>
      </c>
      <c r="H492" s="62" t="str">
        <f>IF($J492=0,"",IF(INDEX('Прайс и заказ'!L:L,$J492)="","",INDEX('Прайс и заказ'!L:L,$J492)))</f>
      </c>
      <c r="I492" s="13" t="str">
        <f>IF($J492=0,"",IF(INDEX('Прайс и заказ'!M:M,$J492)="","",INDEX('Прайс и заказ'!M:M,$J492)))</f>
      </c>
      <c r="J492" t="str">
        <f>IFERROR(MATCH(484,'Прайс и заказ'!$N$7:$N$781,0)+6,0)</f>
      </c>
    </row>
    <row r="493" spans="1:11" customHeight="1" ht="40">
      <c r="A493" s="13" t="str">
        <f>IF($J493=0,"",IFERROR(_xlfn.IMAGE(INDEX('Прайс и заказ'!$O:$O,$J493)),""))</f>
      </c>
      <c r="B493" s="61" t="str">
        <f>IF($J493=0,"",IF(INDEX('Прайс и заказ'!B:B,$J493)="","",INDEX('Прайс и заказ'!B:B,$J493)))</f>
      </c>
      <c r="C493" s="64" t="str">
        <f>IF($J493=0,"",IF(INDEX('Прайс и заказ'!C:C,$J493)="","",INDEX('Прайс и заказ'!C:C,$J493)))</f>
      </c>
      <c r="D493" s="64" t="str">
        <f>IF($J493=0,"",IF(INDEX('Прайс и заказ'!D:D,$J493)="","",INDEX('Прайс и заказ'!D:D,$J493)))</f>
      </c>
      <c r="E493" s="61" t="str">
        <f>IF($J493=0,"",IF(INDEX('Прайс и заказ'!F:F,$J493)="","",INDEX('Прайс и заказ'!F:F,$J493)))</f>
      </c>
      <c r="F493" s="62" t="str">
        <f>IF($J493=0,"",IF(INDEX('Прайс и заказ'!I:I,$J493)="","",INDEX('Прайс и заказ'!I:I,$J493)))</f>
      </c>
      <c r="G493" s="63" t="str">
        <f>IF($J493=0,"",IF(INDEX('Прайс и заказ'!K:K,$J493)="","",INDEX('Прайс и заказ'!K:K,$J493)))</f>
      </c>
      <c r="H493" s="62" t="str">
        <f>IF($J493=0,"",IF(INDEX('Прайс и заказ'!L:L,$J493)="","",INDEX('Прайс и заказ'!L:L,$J493)))</f>
      </c>
      <c r="I493" s="13" t="str">
        <f>IF($J493=0,"",IF(INDEX('Прайс и заказ'!M:M,$J493)="","",INDEX('Прайс и заказ'!M:M,$J493)))</f>
      </c>
      <c r="J493" t="str">
        <f>IFERROR(MATCH(485,'Прайс и заказ'!$N$7:$N$781,0)+6,0)</f>
      </c>
    </row>
    <row r="494" spans="1:11" customHeight="1" ht="40">
      <c r="A494" s="13" t="str">
        <f>IF($J494=0,"",IFERROR(_xlfn.IMAGE(INDEX('Прайс и заказ'!$O:$O,$J494)),""))</f>
      </c>
      <c r="B494" s="61" t="str">
        <f>IF($J494=0,"",IF(INDEX('Прайс и заказ'!B:B,$J494)="","",INDEX('Прайс и заказ'!B:B,$J494)))</f>
      </c>
      <c r="C494" s="64" t="str">
        <f>IF($J494=0,"",IF(INDEX('Прайс и заказ'!C:C,$J494)="","",INDEX('Прайс и заказ'!C:C,$J494)))</f>
      </c>
      <c r="D494" s="64" t="str">
        <f>IF($J494=0,"",IF(INDEX('Прайс и заказ'!D:D,$J494)="","",INDEX('Прайс и заказ'!D:D,$J494)))</f>
      </c>
      <c r="E494" s="61" t="str">
        <f>IF($J494=0,"",IF(INDEX('Прайс и заказ'!F:F,$J494)="","",INDEX('Прайс и заказ'!F:F,$J494)))</f>
      </c>
      <c r="F494" s="62" t="str">
        <f>IF($J494=0,"",IF(INDEX('Прайс и заказ'!I:I,$J494)="","",INDEX('Прайс и заказ'!I:I,$J494)))</f>
      </c>
      <c r="G494" s="63" t="str">
        <f>IF($J494=0,"",IF(INDEX('Прайс и заказ'!K:K,$J494)="","",INDEX('Прайс и заказ'!K:K,$J494)))</f>
      </c>
      <c r="H494" s="62" t="str">
        <f>IF($J494=0,"",IF(INDEX('Прайс и заказ'!L:L,$J494)="","",INDEX('Прайс и заказ'!L:L,$J494)))</f>
      </c>
      <c r="I494" s="13" t="str">
        <f>IF($J494=0,"",IF(INDEX('Прайс и заказ'!M:M,$J494)="","",INDEX('Прайс и заказ'!M:M,$J494)))</f>
      </c>
      <c r="J494" t="str">
        <f>IFERROR(MATCH(486,'Прайс и заказ'!$N$7:$N$781,0)+6,0)</f>
      </c>
    </row>
    <row r="495" spans="1:11" customHeight="1" ht="40">
      <c r="A495" s="13" t="str">
        <f>IF($J495=0,"",IFERROR(_xlfn.IMAGE(INDEX('Прайс и заказ'!$O:$O,$J495)),""))</f>
      </c>
      <c r="B495" s="61" t="str">
        <f>IF($J495=0,"",IF(INDEX('Прайс и заказ'!B:B,$J495)="","",INDEX('Прайс и заказ'!B:B,$J495)))</f>
      </c>
      <c r="C495" s="64" t="str">
        <f>IF($J495=0,"",IF(INDEX('Прайс и заказ'!C:C,$J495)="","",INDEX('Прайс и заказ'!C:C,$J495)))</f>
      </c>
      <c r="D495" s="64" t="str">
        <f>IF($J495=0,"",IF(INDEX('Прайс и заказ'!D:D,$J495)="","",INDEX('Прайс и заказ'!D:D,$J495)))</f>
      </c>
      <c r="E495" s="61" t="str">
        <f>IF($J495=0,"",IF(INDEX('Прайс и заказ'!F:F,$J495)="","",INDEX('Прайс и заказ'!F:F,$J495)))</f>
      </c>
      <c r="F495" s="62" t="str">
        <f>IF($J495=0,"",IF(INDEX('Прайс и заказ'!I:I,$J495)="","",INDEX('Прайс и заказ'!I:I,$J495)))</f>
      </c>
      <c r="G495" s="63" t="str">
        <f>IF($J495=0,"",IF(INDEX('Прайс и заказ'!K:K,$J495)="","",INDEX('Прайс и заказ'!K:K,$J495)))</f>
      </c>
      <c r="H495" s="62" t="str">
        <f>IF($J495=0,"",IF(INDEX('Прайс и заказ'!L:L,$J495)="","",INDEX('Прайс и заказ'!L:L,$J495)))</f>
      </c>
      <c r="I495" s="13" t="str">
        <f>IF($J495=0,"",IF(INDEX('Прайс и заказ'!M:M,$J495)="","",INDEX('Прайс и заказ'!M:M,$J495)))</f>
      </c>
      <c r="J495" t="str">
        <f>IFERROR(MATCH(487,'Прайс и заказ'!$N$7:$N$781,0)+6,0)</f>
      </c>
    </row>
    <row r="496" spans="1:11" customHeight="1" ht="40">
      <c r="A496" s="13" t="str">
        <f>IF($J496=0,"",IFERROR(_xlfn.IMAGE(INDEX('Прайс и заказ'!$O:$O,$J496)),""))</f>
      </c>
      <c r="B496" s="61" t="str">
        <f>IF($J496=0,"",IF(INDEX('Прайс и заказ'!B:B,$J496)="","",INDEX('Прайс и заказ'!B:B,$J496)))</f>
      </c>
      <c r="C496" s="64" t="str">
        <f>IF($J496=0,"",IF(INDEX('Прайс и заказ'!C:C,$J496)="","",INDEX('Прайс и заказ'!C:C,$J496)))</f>
      </c>
      <c r="D496" s="64" t="str">
        <f>IF($J496=0,"",IF(INDEX('Прайс и заказ'!D:D,$J496)="","",INDEX('Прайс и заказ'!D:D,$J496)))</f>
      </c>
      <c r="E496" s="61" t="str">
        <f>IF($J496=0,"",IF(INDEX('Прайс и заказ'!F:F,$J496)="","",INDEX('Прайс и заказ'!F:F,$J496)))</f>
      </c>
      <c r="F496" s="62" t="str">
        <f>IF($J496=0,"",IF(INDEX('Прайс и заказ'!I:I,$J496)="","",INDEX('Прайс и заказ'!I:I,$J496)))</f>
      </c>
      <c r="G496" s="63" t="str">
        <f>IF($J496=0,"",IF(INDEX('Прайс и заказ'!K:K,$J496)="","",INDEX('Прайс и заказ'!K:K,$J496)))</f>
      </c>
      <c r="H496" s="62" t="str">
        <f>IF($J496=0,"",IF(INDEX('Прайс и заказ'!L:L,$J496)="","",INDEX('Прайс и заказ'!L:L,$J496)))</f>
      </c>
      <c r="I496" s="13" t="str">
        <f>IF($J496=0,"",IF(INDEX('Прайс и заказ'!M:M,$J496)="","",INDEX('Прайс и заказ'!M:M,$J496)))</f>
      </c>
      <c r="J496" t="str">
        <f>IFERROR(MATCH(488,'Прайс и заказ'!$N$7:$N$781,0)+6,0)</f>
      </c>
    </row>
    <row r="497" spans="1:11" customHeight="1" ht="40">
      <c r="A497" s="13" t="str">
        <f>IF($J497=0,"",IFERROR(_xlfn.IMAGE(INDEX('Прайс и заказ'!$O:$O,$J497)),""))</f>
      </c>
      <c r="B497" s="61" t="str">
        <f>IF($J497=0,"",IF(INDEX('Прайс и заказ'!B:B,$J497)="","",INDEX('Прайс и заказ'!B:B,$J497)))</f>
      </c>
      <c r="C497" s="64" t="str">
        <f>IF($J497=0,"",IF(INDEX('Прайс и заказ'!C:C,$J497)="","",INDEX('Прайс и заказ'!C:C,$J497)))</f>
      </c>
      <c r="D497" s="64" t="str">
        <f>IF($J497=0,"",IF(INDEX('Прайс и заказ'!D:D,$J497)="","",INDEX('Прайс и заказ'!D:D,$J497)))</f>
      </c>
      <c r="E497" s="61" t="str">
        <f>IF($J497=0,"",IF(INDEX('Прайс и заказ'!F:F,$J497)="","",INDEX('Прайс и заказ'!F:F,$J497)))</f>
      </c>
      <c r="F497" s="62" t="str">
        <f>IF($J497=0,"",IF(INDEX('Прайс и заказ'!I:I,$J497)="","",INDEX('Прайс и заказ'!I:I,$J497)))</f>
      </c>
      <c r="G497" s="63" t="str">
        <f>IF($J497=0,"",IF(INDEX('Прайс и заказ'!K:K,$J497)="","",INDEX('Прайс и заказ'!K:K,$J497)))</f>
      </c>
      <c r="H497" s="62" t="str">
        <f>IF($J497=0,"",IF(INDEX('Прайс и заказ'!L:L,$J497)="","",INDEX('Прайс и заказ'!L:L,$J497)))</f>
      </c>
      <c r="I497" s="13" t="str">
        <f>IF($J497=0,"",IF(INDEX('Прайс и заказ'!M:M,$J497)="","",INDEX('Прайс и заказ'!M:M,$J497)))</f>
      </c>
      <c r="J497" t="str">
        <f>IFERROR(MATCH(489,'Прайс и заказ'!$N$7:$N$781,0)+6,0)</f>
      </c>
    </row>
    <row r="498" spans="1:11" customHeight="1" ht="40">
      <c r="A498" s="13" t="str">
        <f>IF($J498=0,"",IFERROR(_xlfn.IMAGE(INDEX('Прайс и заказ'!$O:$O,$J498)),""))</f>
      </c>
      <c r="B498" s="61" t="str">
        <f>IF($J498=0,"",IF(INDEX('Прайс и заказ'!B:B,$J498)="","",INDEX('Прайс и заказ'!B:B,$J498)))</f>
      </c>
      <c r="C498" s="64" t="str">
        <f>IF($J498=0,"",IF(INDEX('Прайс и заказ'!C:C,$J498)="","",INDEX('Прайс и заказ'!C:C,$J498)))</f>
      </c>
      <c r="D498" s="64" t="str">
        <f>IF($J498=0,"",IF(INDEX('Прайс и заказ'!D:D,$J498)="","",INDEX('Прайс и заказ'!D:D,$J498)))</f>
      </c>
      <c r="E498" s="61" t="str">
        <f>IF($J498=0,"",IF(INDEX('Прайс и заказ'!F:F,$J498)="","",INDEX('Прайс и заказ'!F:F,$J498)))</f>
      </c>
      <c r="F498" s="62" t="str">
        <f>IF($J498=0,"",IF(INDEX('Прайс и заказ'!I:I,$J498)="","",INDEX('Прайс и заказ'!I:I,$J498)))</f>
      </c>
      <c r="G498" s="63" t="str">
        <f>IF($J498=0,"",IF(INDEX('Прайс и заказ'!K:K,$J498)="","",INDEX('Прайс и заказ'!K:K,$J498)))</f>
      </c>
      <c r="H498" s="62" t="str">
        <f>IF($J498=0,"",IF(INDEX('Прайс и заказ'!L:L,$J498)="","",INDEX('Прайс и заказ'!L:L,$J498)))</f>
      </c>
      <c r="I498" s="13" t="str">
        <f>IF($J498=0,"",IF(INDEX('Прайс и заказ'!M:M,$J498)="","",INDEX('Прайс и заказ'!M:M,$J498)))</f>
      </c>
      <c r="J498" t="str">
        <f>IFERROR(MATCH(490,'Прайс и заказ'!$N$7:$N$781,0)+6,0)</f>
      </c>
    </row>
    <row r="499" spans="1:11" customHeight="1" ht="40">
      <c r="A499" s="13" t="str">
        <f>IF($J499=0,"",IFERROR(_xlfn.IMAGE(INDEX('Прайс и заказ'!$O:$O,$J499)),""))</f>
      </c>
      <c r="B499" s="61" t="str">
        <f>IF($J499=0,"",IF(INDEX('Прайс и заказ'!B:B,$J499)="","",INDEX('Прайс и заказ'!B:B,$J499)))</f>
      </c>
      <c r="C499" s="64" t="str">
        <f>IF($J499=0,"",IF(INDEX('Прайс и заказ'!C:C,$J499)="","",INDEX('Прайс и заказ'!C:C,$J499)))</f>
      </c>
      <c r="D499" s="64" t="str">
        <f>IF($J499=0,"",IF(INDEX('Прайс и заказ'!D:D,$J499)="","",INDEX('Прайс и заказ'!D:D,$J499)))</f>
      </c>
      <c r="E499" s="61" t="str">
        <f>IF($J499=0,"",IF(INDEX('Прайс и заказ'!F:F,$J499)="","",INDEX('Прайс и заказ'!F:F,$J499)))</f>
      </c>
      <c r="F499" s="62" t="str">
        <f>IF($J499=0,"",IF(INDEX('Прайс и заказ'!I:I,$J499)="","",INDEX('Прайс и заказ'!I:I,$J499)))</f>
      </c>
      <c r="G499" s="63" t="str">
        <f>IF($J499=0,"",IF(INDEX('Прайс и заказ'!K:K,$J499)="","",INDEX('Прайс и заказ'!K:K,$J499)))</f>
      </c>
      <c r="H499" s="62" t="str">
        <f>IF($J499=0,"",IF(INDEX('Прайс и заказ'!L:L,$J499)="","",INDEX('Прайс и заказ'!L:L,$J499)))</f>
      </c>
      <c r="I499" s="13" t="str">
        <f>IF($J499=0,"",IF(INDEX('Прайс и заказ'!M:M,$J499)="","",INDEX('Прайс и заказ'!M:M,$J499)))</f>
      </c>
      <c r="J499" t="str">
        <f>IFERROR(MATCH(491,'Прайс и заказ'!$N$7:$N$781,0)+6,0)</f>
      </c>
    </row>
    <row r="500" spans="1:11" customHeight="1" ht="40">
      <c r="A500" s="13" t="str">
        <f>IF($J500=0,"",IFERROR(_xlfn.IMAGE(INDEX('Прайс и заказ'!$O:$O,$J500)),""))</f>
      </c>
      <c r="B500" s="61" t="str">
        <f>IF($J500=0,"",IF(INDEX('Прайс и заказ'!B:B,$J500)="","",INDEX('Прайс и заказ'!B:B,$J500)))</f>
      </c>
      <c r="C500" s="64" t="str">
        <f>IF($J500=0,"",IF(INDEX('Прайс и заказ'!C:C,$J500)="","",INDEX('Прайс и заказ'!C:C,$J500)))</f>
      </c>
      <c r="D500" s="64" t="str">
        <f>IF($J500=0,"",IF(INDEX('Прайс и заказ'!D:D,$J500)="","",INDEX('Прайс и заказ'!D:D,$J500)))</f>
      </c>
      <c r="E500" s="61" t="str">
        <f>IF($J500=0,"",IF(INDEX('Прайс и заказ'!F:F,$J500)="","",INDEX('Прайс и заказ'!F:F,$J500)))</f>
      </c>
      <c r="F500" s="62" t="str">
        <f>IF($J500=0,"",IF(INDEX('Прайс и заказ'!I:I,$J500)="","",INDEX('Прайс и заказ'!I:I,$J500)))</f>
      </c>
      <c r="G500" s="63" t="str">
        <f>IF($J500=0,"",IF(INDEX('Прайс и заказ'!K:K,$J500)="","",INDEX('Прайс и заказ'!K:K,$J500)))</f>
      </c>
      <c r="H500" s="62" t="str">
        <f>IF($J500=0,"",IF(INDEX('Прайс и заказ'!L:L,$J500)="","",INDEX('Прайс и заказ'!L:L,$J500)))</f>
      </c>
      <c r="I500" s="13" t="str">
        <f>IF($J500=0,"",IF(INDEX('Прайс и заказ'!M:M,$J500)="","",INDEX('Прайс и заказ'!M:M,$J500)))</f>
      </c>
      <c r="J500" t="str">
        <f>IFERROR(MATCH(492,'Прайс и заказ'!$N$7:$N$781,0)+6,0)</f>
      </c>
    </row>
    <row r="501" spans="1:11" customHeight="1" ht="40">
      <c r="A501" s="13" t="str">
        <f>IF($J501=0,"",IFERROR(_xlfn.IMAGE(INDEX('Прайс и заказ'!$O:$O,$J501)),""))</f>
      </c>
      <c r="B501" s="61" t="str">
        <f>IF($J501=0,"",IF(INDEX('Прайс и заказ'!B:B,$J501)="","",INDEX('Прайс и заказ'!B:B,$J501)))</f>
      </c>
      <c r="C501" s="64" t="str">
        <f>IF($J501=0,"",IF(INDEX('Прайс и заказ'!C:C,$J501)="","",INDEX('Прайс и заказ'!C:C,$J501)))</f>
      </c>
      <c r="D501" s="64" t="str">
        <f>IF($J501=0,"",IF(INDEX('Прайс и заказ'!D:D,$J501)="","",INDEX('Прайс и заказ'!D:D,$J501)))</f>
      </c>
      <c r="E501" s="61" t="str">
        <f>IF($J501=0,"",IF(INDEX('Прайс и заказ'!F:F,$J501)="","",INDEX('Прайс и заказ'!F:F,$J501)))</f>
      </c>
      <c r="F501" s="62" t="str">
        <f>IF($J501=0,"",IF(INDEX('Прайс и заказ'!I:I,$J501)="","",INDEX('Прайс и заказ'!I:I,$J501)))</f>
      </c>
      <c r="G501" s="63" t="str">
        <f>IF($J501=0,"",IF(INDEX('Прайс и заказ'!K:K,$J501)="","",INDEX('Прайс и заказ'!K:K,$J501)))</f>
      </c>
      <c r="H501" s="62" t="str">
        <f>IF($J501=0,"",IF(INDEX('Прайс и заказ'!L:L,$J501)="","",INDEX('Прайс и заказ'!L:L,$J501)))</f>
      </c>
      <c r="I501" s="13" t="str">
        <f>IF($J501=0,"",IF(INDEX('Прайс и заказ'!M:M,$J501)="","",INDEX('Прайс и заказ'!M:M,$J501)))</f>
      </c>
      <c r="J501" t="str">
        <f>IFERROR(MATCH(493,'Прайс и заказ'!$N$7:$N$781,0)+6,0)</f>
      </c>
    </row>
    <row r="502" spans="1:11" customHeight="1" ht="40">
      <c r="A502" s="13" t="str">
        <f>IF($J502=0,"",IFERROR(_xlfn.IMAGE(INDEX('Прайс и заказ'!$O:$O,$J502)),""))</f>
      </c>
      <c r="B502" s="61" t="str">
        <f>IF($J502=0,"",IF(INDEX('Прайс и заказ'!B:B,$J502)="","",INDEX('Прайс и заказ'!B:B,$J502)))</f>
      </c>
      <c r="C502" s="64" t="str">
        <f>IF($J502=0,"",IF(INDEX('Прайс и заказ'!C:C,$J502)="","",INDEX('Прайс и заказ'!C:C,$J502)))</f>
      </c>
      <c r="D502" s="64" t="str">
        <f>IF($J502=0,"",IF(INDEX('Прайс и заказ'!D:D,$J502)="","",INDEX('Прайс и заказ'!D:D,$J502)))</f>
      </c>
      <c r="E502" s="61" t="str">
        <f>IF($J502=0,"",IF(INDEX('Прайс и заказ'!F:F,$J502)="","",INDEX('Прайс и заказ'!F:F,$J502)))</f>
      </c>
      <c r="F502" s="62" t="str">
        <f>IF($J502=0,"",IF(INDEX('Прайс и заказ'!I:I,$J502)="","",INDEX('Прайс и заказ'!I:I,$J502)))</f>
      </c>
      <c r="G502" s="63" t="str">
        <f>IF($J502=0,"",IF(INDEX('Прайс и заказ'!K:K,$J502)="","",INDEX('Прайс и заказ'!K:K,$J502)))</f>
      </c>
      <c r="H502" s="62" t="str">
        <f>IF($J502=0,"",IF(INDEX('Прайс и заказ'!L:L,$J502)="","",INDEX('Прайс и заказ'!L:L,$J502)))</f>
      </c>
      <c r="I502" s="13" t="str">
        <f>IF($J502=0,"",IF(INDEX('Прайс и заказ'!M:M,$J502)="","",INDEX('Прайс и заказ'!M:M,$J502)))</f>
      </c>
      <c r="J502" t="str">
        <f>IFERROR(MATCH(494,'Прайс и заказ'!$N$7:$N$781,0)+6,0)</f>
      </c>
    </row>
    <row r="503" spans="1:11" customHeight="1" ht="40">
      <c r="A503" s="13" t="str">
        <f>IF($J503=0,"",IFERROR(_xlfn.IMAGE(INDEX('Прайс и заказ'!$O:$O,$J503)),""))</f>
      </c>
      <c r="B503" s="61" t="str">
        <f>IF($J503=0,"",IF(INDEX('Прайс и заказ'!B:B,$J503)="","",INDEX('Прайс и заказ'!B:B,$J503)))</f>
      </c>
      <c r="C503" s="64" t="str">
        <f>IF($J503=0,"",IF(INDEX('Прайс и заказ'!C:C,$J503)="","",INDEX('Прайс и заказ'!C:C,$J503)))</f>
      </c>
      <c r="D503" s="64" t="str">
        <f>IF($J503=0,"",IF(INDEX('Прайс и заказ'!D:D,$J503)="","",INDEX('Прайс и заказ'!D:D,$J503)))</f>
      </c>
      <c r="E503" s="61" t="str">
        <f>IF($J503=0,"",IF(INDEX('Прайс и заказ'!F:F,$J503)="","",INDEX('Прайс и заказ'!F:F,$J503)))</f>
      </c>
      <c r="F503" s="62" t="str">
        <f>IF($J503=0,"",IF(INDEX('Прайс и заказ'!I:I,$J503)="","",INDEX('Прайс и заказ'!I:I,$J503)))</f>
      </c>
      <c r="G503" s="63" t="str">
        <f>IF($J503=0,"",IF(INDEX('Прайс и заказ'!K:K,$J503)="","",INDEX('Прайс и заказ'!K:K,$J503)))</f>
      </c>
      <c r="H503" s="62" t="str">
        <f>IF($J503=0,"",IF(INDEX('Прайс и заказ'!L:L,$J503)="","",INDEX('Прайс и заказ'!L:L,$J503)))</f>
      </c>
      <c r="I503" s="13" t="str">
        <f>IF($J503=0,"",IF(INDEX('Прайс и заказ'!M:M,$J503)="","",INDEX('Прайс и заказ'!M:M,$J503)))</f>
      </c>
      <c r="J503" t="str">
        <f>IFERROR(MATCH(495,'Прайс и заказ'!$N$7:$N$781,0)+6,0)</f>
      </c>
    </row>
    <row r="504" spans="1:11" customHeight="1" ht="40">
      <c r="A504" s="13" t="str">
        <f>IF($J504=0,"",IFERROR(_xlfn.IMAGE(INDEX('Прайс и заказ'!$O:$O,$J504)),""))</f>
      </c>
      <c r="B504" s="61" t="str">
        <f>IF($J504=0,"",IF(INDEX('Прайс и заказ'!B:B,$J504)="","",INDEX('Прайс и заказ'!B:B,$J504)))</f>
      </c>
      <c r="C504" s="64" t="str">
        <f>IF($J504=0,"",IF(INDEX('Прайс и заказ'!C:C,$J504)="","",INDEX('Прайс и заказ'!C:C,$J504)))</f>
      </c>
      <c r="D504" s="64" t="str">
        <f>IF($J504=0,"",IF(INDEX('Прайс и заказ'!D:D,$J504)="","",INDEX('Прайс и заказ'!D:D,$J504)))</f>
      </c>
      <c r="E504" s="61" t="str">
        <f>IF($J504=0,"",IF(INDEX('Прайс и заказ'!F:F,$J504)="","",INDEX('Прайс и заказ'!F:F,$J504)))</f>
      </c>
      <c r="F504" s="62" t="str">
        <f>IF($J504=0,"",IF(INDEX('Прайс и заказ'!I:I,$J504)="","",INDEX('Прайс и заказ'!I:I,$J504)))</f>
      </c>
      <c r="G504" s="63" t="str">
        <f>IF($J504=0,"",IF(INDEX('Прайс и заказ'!K:K,$J504)="","",INDEX('Прайс и заказ'!K:K,$J504)))</f>
      </c>
      <c r="H504" s="62" t="str">
        <f>IF($J504=0,"",IF(INDEX('Прайс и заказ'!L:L,$J504)="","",INDEX('Прайс и заказ'!L:L,$J504)))</f>
      </c>
      <c r="I504" s="13" t="str">
        <f>IF($J504=0,"",IF(INDEX('Прайс и заказ'!M:M,$J504)="","",INDEX('Прайс и заказ'!M:M,$J504)))</f>
      </c>
      <c r="J504" t="str">
        <f>IFERROR(MATCH(496,'Прайс и заказ'!$N$7:$N$781,0)+6,0)</f>
      </c>
    </row>
    <row r="505" spans="1:11" customHeight="1" ht="40">
      <c r="A505" s="13" t="str">
        <f>IF($J505=0,"",IFERROR(_xlfn.IMAGE(INDEX('Прайс и заказ'!$O:$O,$J505)),""))</f>
      </c>
      <c r="B505" s="61" t="str">
        <f>IF($J505=0,"",IF(INDEX('Прайс и заказ'!B:B,$J505)="","",INDEX('Прайс и заказ'!B:B,$J505)))</f>
      </c>
      <c r="C505" s="64" t="str">
        <f>IF($J505=0,"",IF(INDEX('Прайс и заказ'!C:C,$J505)="","",INDEX('Прайс и заказ'!C:C,$J505)))</f>
      </c>
      <c r="D505" s="64" t="str">
        <f>IF($J505=0,"",IF(INDEX('Прайс и заказ'!D:D,$J505)="","",INDEX('Прайс и заказ'!D:D,$J505)))</f>
      </c>
      <c r="E505" s="61" t="str">
        <f>IF($J505=0,"",IF(INDEX('Прайс и заказ'!F:F,$J505)="","",INDEX('Прайс и заказ'!F:F,$J505)))</f>
      </c>
      <c r="F505" s="62" t="str">
        <f>IF($J505=0,"",IF(INDEX('Прайс и заказ'!I:I,$J505)="","",INDEX('Прайс и заказ'!I:I,$J505)))</f>
      </c>
      <c r="G505" s="63" t="str">
        <f>IF($J505=0,"",IF(INDEX('Прайс и заказ'!K:K,$J505)="","",INDEX('Прайс и заказ'!K:K,$J505)))</f>
      </c>
      <c r="H505" s="62" t="str">
        <f>IF($J505=0,"",IF(INDEX('Прайс и заказ'!L:L,$J505)="","",INDEX('Прайс и заказ'!L:L,$J505)))</f>
      </c>
      <c r="I505" s="13" t="str">
        <f>IF($J505=0,"",IF(INDEX('Прайс и заказ'!M:M,$J505)="","",INDEX('Прайс и заказ'!M:M,$J505)))</f>
      </c>
      <c r="J505" t="str">
        <f>IFERROR(MATCH(497,'Прайс и заказ'!$N$7:$N$781,0)+6,0)</f>
      </c>
    </row>
    <row r="506" spans="1:11" customHeight="1" ht="40">
      <c r="A506" s="13" t="str">
        <f>IF($J506=0,"",IFERROR(_xlfn.IMAGE(INDEX('Прайс и заказ'!$O:$O,$J506)),""))</f>
      </c>
      <c r="B506" s="61" t="str">
        <f>IF($J506=0,"",IF(INDEX('Прайс и заказ'!B:B,$J506)="","",INDEX('Прайс и заказ'!B:B,$J506)))</f>
      </c>
      <c r="C506" s="64" t="str">
        <f>IF($J506=0,"",IF(INDEX('Прайс и заказ'!C:C,$J506)="","",INDEX('Прайс и заказ'!C:C,$J506)))</f>
      </c>
      <c r="D506" s="64" t="str">
        <f>IF($J506=0,"",IF(INDEX('Прайс и заказ'!D:D,$J506)="","",INDEX('Прайс и заказ'!D:D,$J506)))</f>
      </c>
      <c r="E506" s="61" t="str">
        <f>IF($J506=0,"",IF(INDEX('Прайс и заказ'!F:F,$J506)="","",INDEX('Прайс и заказ'!F:F,$J506)))</f>
      </c>
      <c r="F506" s="62" t="str">
        <f>IF($J506=0,"",IF(INDEX('Прайс и заказ'!I:I,$J506)="","",INDEX('Прайс и заказ'!I:I,$J506)))</f>
      </c>
      <c r="G506" s="63" t="str">
        <f>IF($J506=0,"",IF(INDEX('Прайс и заказ'!K:K,$J506)="","",INDEX('Прайс и заказ'!K:K,$J506)))</f>
      </c>
      <c r="H506" s="62" t="str">
        <f>IF($J506=0,"",IF(INDEX('Прайс и заказ'!L:L,$J506)="","",INDEX('Прайс и заказ'!L:L,$J506)))</f>
      </c>
      <c r="I506" s="13" t="str">
        <f>IF($J506=0,"",IF(INDEX('Прайс и заказ'!M:M,$J506)="","",INDEX('Прайс и заказ'!M:M,$J506)))</f>
      </c>
      <c r="J506" t="str">
        <f>IFERROR(MATCH(498,'Прайс и заказ'!$N$7:$N$781,0)+6,0)</f>
      </c>
    </row>
    <row r="507" spans="1:11" customHeight="1" ht="40">
      <c r="A507" s="13" t="str">
        <f>IF($J507=0,"",IFERROR(_xlfn.IMAGE(INDEX('Прайс и заказ'!$O:$O,$J507)),""))</f>
      </c>
      <c r="B507" s="61" t="str">
        <f>IF($J507=0,"",IF(INDEX('Прайс и заказ'!B:B,$J507)="","",INDEX('Прайс и заказ'!B:B,$J507)))</f>
      </c>
      <c r="C507" s="64" t="str">
        <f>IF($J507=0,"",IF(INDEX('Прайс и заказ'!C:C,$J507)="","",INDEX('Прайс и заказ'!C:C,$J507)))</f>
      </c>
      <c r="D507" s="64" t="str">
        <f>IF($J507=0,"",IF(INDEX('Прайс и заказ'!D:D,$J507)="","",INDEX('Прайс и заказ'!D:D,$J507)))</f>
      </c>
      <c r="E507" s="61" t="str">
        <f>IF($J507=0,"",IF(INDEX('Прайс и заказ'!F:F,$J507)="","",INDEX('Прайс и заказ'!F:F,$J507)))</f>
      </c>
      <c r="F507" s="62" t="str">
        <f>IF($J507=0,"",IF(INDEX('Прайс и заказ'!I:I,$J507)="","",INDEX('Прайс и заказ'!I:I,$J507)))</f>
      </c>
      <c r="G507" s="63" t="str">
        <f>IF($J507=0,"",IF(INDEX('Прайс и заказ'!K:K,$J507)="","",INDEX('Прайс и заказ'!K:K,$J507)))</f>
      </c>
      <c r="H507" s="62" t="str">
        <f>IF($J507=0,"",IF(INDEX('Прайс и заказ'!L:L,$J507)="","",INDEX('Прайс и заказ'!L:L,$J507)))</f>
      </c>
      <c r="I507" s="13" t="str">
        <f>IF($J507=0,"",IF(INDEX('Прайс и заказ'!M:M,$J507)="","",INDEX('Прайс и заказ'!M:M,$J507)))</f>
      </c>
      <c r="J507" t="str">
        <f>IFERROR(MATCH(499,'Прайс и заказ'!$N$7:$N$781,0)+6,0)</f>
      </c>
    </row>
    <row r="508" spans="1:11" customHeight="1" ht="40">
      <c r="A508" s="13" t="str">
        <f>IF($J508=0,"",IFERROR(_xlfn.IMAGE(INDEX('Прайс и заказ'!$O:$O,$J508)),""))</f>
      </c>
      <c r="B508" s="61" t="str">
        <f>IF($J508=0,"",IF(INDEX('Прайс и заказ'!B:B,$J508)="","",INDEX('Прайс и заказ'!B:B,$J508)))</f>
      </c>
      <c r="C508" s="64" t="str">
        <f>IF($J508=0,"",IF(INDEX('Прайс и заказ'!C:C,$J508)="","",INDEX('Прайс и заказ'!C:C,$J508)))</f>
      </c>
      <c r="D508" s="64" t="str">
        <f>IF($J508=0,"",IF(INDEX('Прайс и заказ'!D:D,$J508)="","",INDEX('Прайс и заказ'!D:D,$J508)))</f>
      </c>
      <c r="E508" s="61" t="str">
        <f>IF($J508=0,"",IF(INDEX('Прайс и заказ'!F:F,$J508)="","",INDEX('Прайс и заказ'!F:F,$J508)))</f>
      </c>
      <c r="F508" s="62" t="str">
        <f>IF($J508=0,"",IF(INDEX('Прайс и заказ'!I:I,$J508)="","",INDEX('Прайс и заказ'!I:I,$J508)))</f>
      </c>
      <c r="G508" s="63" t="str">
        <f>IF($J508=0,"",IF(INDEX('Прайс и заказ'!K:K,$J508)="","",INDEX('Прайс и заказ'!K:K,$J508)))</f>
      </c>
      <c r="H508" s="62" t="str">
        <f>IF($J508=0,"",IF(INDEX('Прайс и заказ'!L:L,$J508)="","",INDEX('Прайс и заказ'!L:L,$J508)))</f>
      </c>
      <c r="I508" s="13" t="str">
        <f>IF($J508=0,"",IF(INDEX('Прайс и заказ'!M:M,$J508)="","",INDEX('Прайс и заказ'!M:M,$J508)))</f>
      </c>
      <c r="J508" t="str">
        <f>IFERROR(MATCH(500,'Прайс и заказ'!$N$7:$N$781,0)+6,0)</f>
      </c>
    </row>
    <row r="509" spans="1:11" customHeight="1" ht="40">
      <c r="A509" s="13" t="str">
        <f>IF($J509=0,"",IFERROR(_xlfn.IMAGE(INDEX('Прайс и заказ'!$O:$O,$J509)),""))</f>
      </c>
      <c r="B509" s="61" t="str">
        <f>IF($J509=0,"",IF(INDEX('Прайс и заказ'!B:B,$J509)="","",INDEX('Прайс и заказ'!B:B,$J509)))</f>
      </c>
      <c r="C509" s="64" t="str">
        <f>IF($J509=0,"",IF(INDEX('Прайс и заказ'!C:C,$J509)="","",INDEX('Прайс и заказ'!C:C,$J509)))</f>
      </c>
      <c r="D509" s="64" t="str">
        <f>IF($J509=0,"",IF(INDEX('Прайс и заказ'!D:D,$J509)="","",INDEX('Прайс и заказ'!D:D,$J509)))</f>
      </c>
      <c r="E509" s="61" t="str">
        <f>IF($J509=0,"",IF(INDEX('Прайс и заказ'!F:F,$J509)="","",INDEX('Прайс и заказ'!F:F,$J509)))</f>
      </c>
      <c r="F509" s="62" t="str">
        <f>IF($J509=0,"",IF(INDEX('Прайс и заказ'!I:I,$J509)="","",INDEX('Прайс и заказ'!I:I,$J509)))</f>
      </c>
      <c r="G509" s="63" t="str">
        <f>IF($J509=0,"",IF(INDEX('Прайс и заказ'!K:K,$J509)="","",INDEX('Прайс и заказ'!K:K,$J509)))</f>
      </c>
      <c r="H509" s="62" t="str">
        <f>IF($J509=0,"",IF(INDEX('Прайс и заказ'!L:L,$J509)="","",INDEX('Прайс и заказ'!L:L,$J509)))</f>
      </c>
      <c r="I509" s="13" t="str">
        <f>IF($J509=0,"",IF(INDEX('Прайс и заказ'!M:M,$J509)="","",INDEX('Прайс и заказ'!M:M,$J509)))</f>
      </c>
      <c r="J509" t="str">
        <f>IFERROR(MATCH(501,'Прайс и заказ'!$N$7:$N$781,0)+6,0)</f>
      </c>
    </row>
    <row r="510" spans="1:11" customHeight="1" ht="40">
      <c r="A510" s="13" t="str">
        <f>IF($J510=0,"",IFERROR(_xlfn.IMAGE(INDEX('Прайс и заказ'!$O:$O,$J510)),""))</f>
      </c>
      <c r="B510" s="61" t="str">
        <f>IF($J510=0,"",IF(INDEX('Прайс и заказ'!B:B,$J510)="","",INDEX('Прайс и заказ'!B:B,$J510)))</f>
      </c>
      <c r="C510" s="64" t="str">
        <f>IF($J510=0,"",IF(INDEX('Прайс и заказ'!C:C,$J510)="","",INDEX('Прайс и заказ'!C:C,$J510)))</f>
      </c>
      <c r="D510" s="64" t="str">
        <f>IF($J510=0,"",IF(INDEX('Прайс и заказ'!D:D,$J510)="","",INDEX('Прайс и заказ'!D:D,$J510)))</f>
      </c>
      <c r="E510" s="61" t="str">
        <f>IF($J510=0,"",IF(INDEX('Прайс и заказ'!F:F,$J510)="","",INDEX('Прайс и заказ'!F:F,$J510)))</f>
      </c>
      <c r="F510" s="62" t="str">
        <f>IF($J510=0,"",IF(INDEX('Прайс и заказ'!I:I,$J510)="","",INDEX('Прайс и заказ'!I:I,$J510)))</f>
      </c>
      <c r="G510" s="63" t="str">
        <f>IF($J510=0,"",IF(INDEX('Прайс и заказ'!K:K,$J510)="","",INDEX('Прайс и заказ'!K:K,$J510)))</f>
      </c>
      <c r="H510" s="62" t="str">
        <f>IF($J510=0,"",IF(INDEX('Прайс и заказ'!L:L,$J510)="","",INDEX('Прайс и заказ'!L:L,$J510)))</f>
      </c>
      <c r="I510" s="13" t="str">
        <f>IF($J510=0,"",IF(INDEX('Прайс и заказ'!M:M,$J510)="","",INDEX('Прайс и заказ'!M:M,$J510)))</f>
      </c>
      <c r="J510" t="str">
        <f>IFERROR(MATCH(502,'Прайс и заказ'!$N$7:$N$781,0)+6,0)</f>
      </c>
    </row>
    <row r="511" spans="1:11" customHeight="1" ht="40">
      <c r="A511" s="13" t="str">
        <f>IF($J511=0,"",IFERROR(_xlfn.IMAGE(INDEX('Прайс и заказ'!$O:$O,$J511)),""))</f>
      </c>
      <c r="B511" s="61" t="str">
        <f>IF($J511=0,"",IF(INDEX('Прайс и заказ'!B:B,$J511)="","",INDEX('Прайс и заказ'!B:B,$J511)))</f>
      </c>
      <c r="C511" s="64" t="str">
        <f>IF($J511=0,"",IF(INDEX('Прайс и заказ'!C:C,$J511)="","",INDEX('Прайс и заказ'!C:C,$J511)))</f>
      </c>
      <c r="D511" s="64" t="str">
        <f>IF($J511=0,"",IF(INDEX('Прайс и заказ'!D:D,$J511)="","",INDEX('Прайс и заказ'!D:D,$J511)))</f>
      </c>
      <c r="E511" s="61" t="str">
        <f>IF($J511=0,"",IF(INDEX('Прайс и заказ'!F:F,$J511)="","",INDEX('Прайс и заказ'!F:F,$J511)))</f>
      </c>
      <c r="F511" s="62" t="str">
        <f>IF($J511=0,"",IF(INDEX('Прайс и заказ'!I:I,$J511)="","",INDEX('Прайс и заказ'!I:I,$J511)))</f>
      </c>
      <c r="G511" s="63" t="str">
        <f>IF($J511=0,"",IF(INDEX('Прайс и заказ'!K:K,$J511)="","",INDEX('Прайс и заказ'!K:K,$J511)))</f>
      </c>
      <c r="H511" s="62" t="str">
        <f>IF($J511=0,"",IF(INDEX('Прайс и заказ'!L:L,$J511)="","",INDEX('Прайс и заказ'!L:L,$J511)))</f>
      </c>
      <c r="I511" s="13" t="str">
        <f>IF($J511=0,"",IF(INDEX('Прайс и заказ'!M:M,$J511)="","",INDEX('Прайс и заказ'!M:M,$J511)))</f>
      </c>
      <c r="J511" t="str">
        <f>IFERROR(MATCH(503,'Прайс и заказ'!$N$7:$N$781,0)+6,0)</f>
      </c>
    </row>
    <row r="512" spans="1:11" customHeight="1" ht="40">
      <c r="A512" s="13" t="str">
        <f>IF($J512=0,"",IFERROR(_xlfn.IMAGE(INDEX('Прайс и заказ'!$O:$O,$J512)),""))</f>
      </c>
      <c r="B512" s="61" t="str">
        <f>IF($J512=0,"",IF(INDEX('Прайс и заказ'!B:B,$J512)="","",INDEX('Прайс и заказ'!B:B,$J512)))</f>
      </c>
      <c r="C512" s="64" t="str">
        <f>IF($J512=0,"",IF(INDEX('Прайс и заказ'!C:C,$J512)="","",INDEX('Прайс и заказ'!C:C,$J512)))</f>
      </c>
      <c r="D512" s="64" t="str">
        <f>IF($J512=0,"",IF(INDEX('Прайс и заказ'!D:D,$J512)="","",INDEX('Прайс и заказ'!D:D,$J512)))</f>
      </c>
      <c r="E512" s="61" t="str">
        <f>IF($J512=0,"",IF(INDEX('Прайс и заказ'!F:F,$J512)="","",INDEX('Прайс и заказ'!F:F,$J512)))</f>
      </c>
      <c r="F512" s="62" t="str">
        <f>IF($J512=0,"",IF(INDEX('Прайс и заказ'!I:I,$J512)="","",INDEX('Прайс и заказ'!I:I,$J512)))</f>
      </c>
      <c r="G512" s="63" t="str">
        <f>IF($J512=0,"",IF(INDEX('Прайс и заказ'!K:K,$J512)="","",INDEX('Прайс и заказ'!K:K,$J512)))</f>
      </c>
      <c r="H512" s="62" t="str">
        <f>IF($J512=0,"",IF(INDEX('Прайс и заказ'!L:L,$J512)="","",INDEX('Прайс и заказ'!L:L,$J512)))</f>
      </c>
      <c r="I512" s="13" t="str">
        <f>IF($J512=0,"",IF(INDEX('Прайс и заказ'!M:M,$J512)="","",INDEX('Прайс и заказ'!M:M,$J512)))</f>
      </c>
      <c r="J512" t="str">
        <f>IFERROR(MATCH(504,'Прайс и заказ'!$N$7:$N$781,0)+6,0)</f>
      </c>
    </row>
    <row r="513" spans="1:11" customHeight="1" ht="40">
      <c r="A513" s="13" t="str">
        <f>IF($J513=0,"",IFERROR(_xlfn.IMAGE(INDEX('Прайс и заказ'!$O:$O,$J513)),""))</f>
      </c>
      <c r="B513" s="61" t="str">
        <f>IF($J513=0,"",IF(INDEX('Прайс и заказ'!B:B,$J513)="","",INDEX('Прайс и заказ'!B:B,$J513)))</f>
      </c>
      <c r="C513" s="64" t="str">
        <f>IF($J513=0,"",IF(INDEX('Прайс и заказ'!C:C,$J513)="","",INDEX('Прайс и заказ'!C:C,$J513)))</f>
      </c>
      <c r="D513" s="64" t="str">
        <f>IF($J513=0,"",IF(INDEX('Прайс и заказ'!D:D,$J513)="","",INDEX('Прайс и заказ'!D:D,$J513)))</f>
      </c>
      <c r="E513" s="61" t="str">
        <f>IF($J513=0,"",IF(INDEX('Прайс и заказ'!F:F,$J513)="","",INDEX('Прайс и заказ'!F:F,$J513)))</f>
      </c>
      <c r="F513" s="62" t="str">
        <f>IF($J513=0,"",IF(INDEX('Прайс и заказ'!I:I,$J513)="","",INDEX('Прайс и заказ'!I:I,$J513)))</f>
      </c>
      <c r="G513" s="63" t="str">
        <f>IF($J513=0,"",IF(INDEX('Прайс и заказ'!K:K,$J513)="","",INDEX('Прайс и заказ'!K:K,$J513)))</f>
      </c>
      <c r="H513" s="62" t="str">
        <f>IF($J513=0,"",IF(INDEX('Прайс и заказ'!L:L,$J513)="","",INDEX('Прайс и заказ'!L:L,$J513)))</f>
      </c>
      <c r="I513" s="13" t="str">
        <f>IF($J513=0,"",IF(INDEX('Прайс и заказ'!M:M,$J513)="","",INDEX('Прайс и заказ'!M:M,$J513)))</f>
      </c>
      <c r="J513" t="str">
        <f>IFERROR(MATCH(505,'Прайс и заказ'!$N$7:$N$781,0)+6,0)</f>
      </c>
    </row>
    <row r="514" spans="1:11" customHeight="1" ht="40">
      <c r="A514" s="13" t="str">
        <f>IF($J514=0,"",IFERROR(_xlfn.IMAGE(INDEX('Прайс и заказ'!$O:$O,$J514)),""))</f>
      </c>
      <c r="B514" s="61" t="str">
        <f>IF($J514=0,"",IF(INDEX('Прайс и заказ'!B:B,$J514)="","",INDEX('Прайс и заказ'!B:B,$J514)))</f>
      </c>
      <c r="C514" s="64" t="str">
        <f>IF($J514=0,"",IF(INDEX('Прайс и заказ'!C:C,$J514)="","",INDEX('Прайс и заказ'!C:C,$J514)))</f>
      </c>
      <c r="D514" s="64" t="str">
        <f>IF($J514=0,"",IF(INDEX('Прайс и заказ'!D:D,$J514)="","",INDEX('Прайс и заказ'!D:D,$J514)))</f>
      </c>
      <c r="E514" s="61" t="str">
        <f>IF($J514=0,"",IF(INDEX('Прайс и заказ'!F:F,$J514)="","",INDEX('Прайс и заказ'!F:F,$J514)))</f>
      </c>
      <c r="F514" s="62" t="str">
        <f>IF($J514=0,"",IF(INDEX('Прайс и заказ'!I:I,$J514)="","",INDEX('Прайс и заказ'!I:I,$J514)))</f>
      </c>
      <c r="G514" s="63" t="str">
        <f>IF($J514=0,"",IF(INDEX('Прайс и заказ'!K:K,$J514)="","",INDEX('Прайс и заказ'!K:K,$J514)))</f>
      </c>
      <c r="H514" s="62" t="str">
        <f>IF($J514=0,"",IF(INDEX('Прайс и заказ'!L:L,$J514)="","",INDEX('Прайс и заказ'!L:L,$J514)))</f>
      </c>
      <c r="I514" s="13" t="str">
        <f>IF($J514=0,"",IF(INDEX('Прайс и заказ'!M:M,$J514)="","",INDEX('Прайс и заказ'!M:M,$J514)))</f>
      </c>
      <c r="J514" t="str">
        <f>IFERROR(MATCH(506,'Прайс и заказ'!$N$7:$N$781,0)+6,0)</f>
      </c>
    </row>
    <row r="515" spans="1:11" customHeight="1" ht="40">
      <c r="A515" s="13" t="str">
        <f>IF($J515=0,"",IFERROR(_xlfn.IMAGE(INDEX('Прайс и заказ'!$O:$O,$J515)),""))</f>
      </c>
      <c r="B515" s="61" t="str">
        <f>IF($J515=0,"",IF(INDEX('Прайс и заказ'!B:B,$J515)="","",INDEX('Прайс и заказ'!B:B,$J515)))</f>
      </c>
      <c r="C515" s="64" t="str">
        <f>IF($J515=0,"",IF(INDEX('Прайс и заказ'!C:C,$J515)="","",INDEX('Прайс и заказ'!C:C,$J515)))</f>
      </c>
      <c r="D515" s="64" t="str">
        <f>IF($J515=0,"",IF(INDEX('Прайс и заказ'!D:D,$J515)="","",INDEX('Прайс и заказ'!D:D,$J515)))</f>
      </c>
      <c r="E515" s="61" t="str">
        <f>IF($J515=0,"",IF(INDEX('Прайс и заказ'!F:F,$J515)="","",INDEX('Прайс и заказ'!F:F,$J515)))</f>
      </c>
      <c r="F515" s="62" t="str">
        <f>IF($J515=0,"",IF(INDEX('Прайс и заказ'!I:I,$J515)="","",INDEX('Прайс и заказ'!I:I,$J515)))</f>
      </c>
      <c r="G515" s="63" t="str">
        <f>IF($J515=0,"",IF(INDEX('Прайс и заказ'!K:K,$J515)="","",INDEX('Прайс и заказ'!K:K,$J515)))</f>
      </c>
      <c r="H515" s="62" t="str">
        <f>IF($J515=0,"",IF(INDEX('Прайс и заказ'!L:L,$J515)="","",INDEX('Прайс и заказ'!L:L,$J515)))</f>
      </c>
      <c r="I515" s="13" t="str">
        <f>IF($J515=0,"",IF(INDEX('Прайс и заказ'!M:M,$J515)="","",INDEX('Прайс и заказ'!M:M,$J515)))</f>
      </c>
      <c r="J515" t="str">
        <f>IFERROR(MATCH(507,'Прайс и заказ'!$N$7:$N$781,0)+6,0)</f>
      </c>
    </row>
    <row r="516" spans="1:11" customHeight="1" ht="40">
      <c r="A516" s="13" t="str">
        <f>IF($J516=0,"",IFERROR(_xlfn.IMAGE(INDEX('Прайс и заказ'!$O:$O,$J516)),""))</f>
      </c>
      <c r="B516" s="61" t="str">
        <f>IF($J516=0,"",IF(INDEX('Прайс и заказ'!B:B,$J516)="","",INDEX('Прайс и заказ'!B:B,$J516)))</f>
      </c>
      <c r="C516" s="64" t="str">
        <f>IF($J516=0,"",IF(INDEX('Прайс и заказ'!C:C,$J516)="","",INDEX('Прайс и заказ'!C:C,$J516)))</f>
      </c>
      <c r="D516" s="64" t="str">
        <f>IF($J516=0,"",IF(INDEX('Прайс и заказ'!D:D,$J516)="","",INDEX('Прайс и заказ'!D:D,$J516)))</f>
      </c>
      <c r="E516" s="61" t="str">
        <f>IF($J516=0,"",IF(INDEX('Прайс и заказ'!F:F,$J516)="","",INDEX('Прайс и заказ'!F:F,$J516)))</f>
      </c>
      <c r="F516" s="62" t="str">
        <f>IF($J516=0,"",IF(INDEX('Прайс и заказ'!I:I,$J516)="","",INDEX('Прайс и заказ'!I:I,$J516)))</f>
      </c>
      <c r="G516" s="63" t="str">
        <f>IF($J516=0,"",IF(INDEX('Прайс и заказ'!K:K,$J516)="","",INDEX('Прайс и заказ'!K:K,$J516)))</f>
      </c>
      <c r="H516" s="62" t="str">
        <f>IF($J516=0,"",IF(INDEX('Прайс и заказ'!L:L,$J516)="","",INDEX('Прайс и заказ'!L:L,$J516)))</f>
      </c>
      <c r="I516" s="13" t="str">
        <f>IF($J516=0,"",IF(INDEX('Прайс и заказ'!M:M,$J516)="","",INDEX('Прайс и заказ'!M:M,$J516)))</f>
      </c>
      <c r="J516" t="str">
        <f>IFERROR(MATCH(508,'Прайс и заказ'!$N$7:$N$781,0)+6,0)</f>
      </c>
    </row>
    <row r="517" spans="1:11" customHeight="1" ht="40">
      <c r="A517" s="13" t="str">
        <f>IF($J517=0,"",IFERROR(_xlfn.IMAGE(INDEX('Прайс и заказ'!$O:$O,$J517)),""))</f>
      </c>
      <c r="B517" s="61" t="str">
        <f>IF($J517=0,"",IF(INDEX('Прайс и заказ'!B:B,$J517)="","",INDEX('Прайс и заказ'!B:B,$J517)))</f>
      </c>
      <c r="C517" s="64" t="str">
        <f>IF($J517=0,"",IF(INDEX('Прайс и заказ'!C:C,$J517)="","",INDEX('Прайс и заказ'!C:C,$J517)))</f>
      </c>
      <c r="D517" s="64" t="str">
        <f>IF($J517=0,"",IF(INDEX('Прайс и заказ'!D:D,$J517)="","",INDEX('Прайс и заказ'!D:D,$J517)))</f>
      </c>
      <c r="E517" s="61" t="str">
        <f>IF($J517=0,"",IF(INDEX('Прайс и заказ'!F:F,$J517)="","",INDEX('Прайс и заказ'!F:F,$J517)))</f>
      </c>
      <c r="F517" s="62" t="str">
        <f>IF($J517=0,"",IF(INDEX('Прайс и заказ'!I:I,$J517)="","",INDEX('Прайс и заказ'!I:I,$J517)))</f>
      </c>
      <c r="G517" s="63" t="str">
        <f>IF($J517=0,"",IF(INDEX('Прайс и заказ'!K:K,$J517)="","",INDEX('Прайс и заказ'!K:K,$J517)))</f>
      </c>
      <c r="H517" s="62" t="str">
        <f>IF($J517=0,"",IF(INDEX('Прайс и заказ'!L:L,$J517)="","",INDEX('Прайс и заказ'!L:L,$J517)))</f>
      </c>
      <c r="I517" s="13" t="str">
        <f>IF($J517=0,"",IF(INDEX('Прайс и заказ'!M:M,$J517)="","",INDEX('Прайс и заказ'!M:M,$J517)))</f>
      </c>
      <c r="J517" t="str">
        <f>IFERROR(MATCH(509,'Прайс и заказ'!$N$7:$N$781,0)+6,0)</f>
      </c>
    </row>
    <row r="518" spans="1:11" customHeight="1" ht="40">
      <c r="A518" s="13" t="str">
        <f>IF($J518=0,"",IFERROR(_xlfn.IMAGE(INDEX('Прайс и заказ'!$O:$O,$J518)),""))</f>
      </c>
      <c r="B518" s="61" t="str">
        <f>IF($J518=0,"",IF(INDEX('Прайс и заказ'!B:B,$J518)="","",INDEX('Прайс и заказ'!B:B,$J518)))</f>
      </c>
      <c r="C518" s="64" t="str">
        <f>IF($J518=0,"",IF(INDEX('Прайс и заказ'!C:C,$J518)="","",INDEX('Прайс и заказ'!C:C,$J518)))</f>
      </c>
      <c r="D518" s="64" t="str">
        <f>IF($J518=0,"",IF(INDEX('Прайс и заказ'!D:D,$J518)="","",INDEX('Прайс и заказ'!D:D,$J518)))</f>
      </c>
      <c r="E518" s="61" t="str">
        <f>IF($J518=0,"",IF(INDEX('Прайс и заказ'!F:F,$J518)="","",INDEX('Прайс и заказ'!F:F,$J518)))</f>
      </c>
      <c r="F518" s="62" t="str">
        <f>IF($J518=0,"",IF(INDEX('Прайс и заказ'!I:I,$J518)="","",INDEX('Прайс и заказ'!I:I,$J518)))</f>
      </c>
      <c r="G518" s="63" t="str">
        <f>IF($J518=0,"",IF(INDEX('Прайс и заказ'!K:K,$J518)="","",INDEX('Прайс и заказ'!K:K,$J518)))</f>
      </c>
      <c r="H518" s="62" t="str">
        <f>IF($J518=0,"",IF(INDEX('Прайс и заказ'!L:L,$J518)="","",INDEX('Прайс и заказ'!L:L,$J518)))</f>
      </c>
      <c r="I518" s="13" t="str">
        <f>IF($J518=0,"",IF(INDEX('Прайс и заказ'!M:M,$J518)="","",INDEX('Прайс и заказ'!M:M,$J518)))</f>
      </c>
      <c r="J518" t="str">
        <f>IFERROR(MATCH(510,'Прайс и заказ'!$N$7:$N$781,0)+6,0)</f>
      </c>
    </row>
    <row r="519" spans="1:11" customHeight="1" ht="40">
      <c r="A519" s="13" t="str">
        <f>IF($J519=0,"",IFERROR(_xlfn.IMAGE(INDEX('Прайс и заказ'!$O:$O,$J519)),""))</f>
      </c>
      <c r="B519" s="61" t="str">
        <f>IF($J519=0,"",IF(INDEX('Прайс и заказ'!B:B,$J519)="","",INDEX('Прайс и заказ'!B:B,$J519)))</f>
      </c>
      <c r="C519" s="64" t="str">
        <f>IF($J519=0,"",IF(INDEX('Прайс и заказ'!C:C,$J519)="","",INDEX('Прайс и заказ'!C:C,$J519)))</f>
      </c>
      <c r="D519" s="64" t="str">
        <f>IF($J519=0,"",IF(INDEX('Прайс и заказ'!D:D,$J519)="","",INDEX('Прайс и заказ'!D:D,$J519)))</f>
      </c>
      <c r="E519" s="61" t="str">
        <f>IF($J519=0,"",IF(INDEX('Прайс и заказ'!F:F,$J519)="","",INDEX('Прайс и заказ'!F:F,$J519)))</f>
      </c>
      <c r="F519" s="62" t="str">
        <f>IF($J519=0,"",IF(INDEX('Прайс и заказ'!I:I,$J519)="","",INDEX('Прайс и заказ'!I:I,$J519)))</f>
      </c>
      <c r="G519" s="63" t="str">
        <f>IF($J519=0,"",IF(INDEX('Прайс и заказ'!K:K,$J519)="","",INDEX('Прайс и заказ'!K:K,$J519)))</f>
      </c>
      <c r="H519" s="62" t="str">
        <f>IF($J519=0,"",IF(INDEX('Прайс и заказ'!L:L,$J519)="","",INDEX('Прайс и заказ'!L:L,$J519)))</f>
      </c>
      <c r="I519" s="13" t="str">
        <f>IF($J519=0,"",IF(INDEX('Прайс и заказ'!M:M,$J519)="","",INDEX('Прайс и заказ'!M:M,$J519)))</f>
      </c>
      <c r="J519" t="str">
        <f>IFERROR(MATCH(511,'Прайс и заказ'!$N$7:$N$781,0)+6,0)</f>
      </c>
    </row>
    <row r="520" spans="1:11" customHeight="1" ht="40">
      <c r="A520" s="13" t="str">
        <f>IF($J520=0,"",IFERROR(_xlfn.IMAGE(INDEX('Прайс и заказ'!$O:$O,$J520)),""))</f>
      </c>
      <c r="B520" s="61" t="str">
        <f>IF($J520=0,"",IF(INDEX('Прайс и заказ'!B:B,$J520)="","",INDEX('Прайс и заказ'!B:B,$J520)))</f>
      </c>
      <c r="C520" s="64" t="str">
        <f>IF($J520=0,"",IF(INDEX('Прайс и заказ'!C:C,$J520)="","",INDEX('Прайс и заказ'!C:C,$J520)))</f>
      </c>
      <c r="D520" s="64" t="str">
        <f>IF($J520=0,"",IF(INDEX('Прайс и заказ'!D:D,$J520)="","",INDEX('Прайс и заказ'!D:D,$J520)))</f>
      </c>
      <c r="E520" s="61" t="str">
        <f>IF($J520=0,"",IF(INDEX('Прайс и заказ'!F:F,$J520)="","",INDEX('Прайс и заказ'!F:F,$J520)))</f>
      </c>
      <c r="F520" s="62" t="str">
        <f>IF($J520=0,"",IF(INDEX('Прайс и заказ'!I:I,$J520)="","",INDEX('Прайс и заказ'!I:I,$J520)))</f>
      </c>
      <c r="G520" s="63" t="str">
        <f>IF($J520=0,"",IF(INDEX('Прайс и заказ'!K:K,$J520)="","",INDEX('Прайс и заказ'!K:K,$J520)))</f>
      </c>
      <c r="H520" s="62" t="str">
        <f>IF($J520=0,"",IF(INDEX('Прайс и заказ'!L:L,$J520)="","",INDEX('Прайс и заказ'!L:L,$J520)))</f>
      </c>
      <c r="I520" s="13" t="str">
        <f>IF($J520=0,"",IF(INDEX('Прайс и заказ'!M:M,$J520)="","",INDEX('Прайс и заказ'!M:M,$J520)))</f>
      </c>
      <c r="J520" t="str">
        <f>IFERROR(MATCH(512,'Прайс и заказ'!$N$7:$N$781,0)+6,0)</f>
      </c>
    </row>
    <row r="521" spans="1:11" customHeight="1" ht="40">
      <c r="A521" s="13" t="str">
        <f>IF($J521=0,"",IFERROR(_xlfn.IMAGE(INDEX('Прайс и заказ'!$O:$O,$J521)),""))</f>
      </c>
      <c r="B521" s="61" t="str">
        <f>IF($J521=0,"",IF(INDEX('Прайс и заказ'!B:B,$J521)="","",INDEX('Прайс и заказ'!B:B,$J521)))</f>
      </c>
      <c r="C521" s="64" t="str">
        <f>IF($J521=0,"",IF(INDEX('Прайс и заказ'!C:C,$J521)="","",INDEX('Прайс и заказ'!C:C,$J521)))</f>
      </c>
      <c r="D521" s="64" t="str">
        <f>IF($J521=0,"",IF(INDEX('Прайс и заказ'!D:D,$J521)="","",INDEX('Прайс и заказ'!D:D,$J521)))</f>
      </c>
      <c r="E521" s="61" t="str">
        <f>IF($J521=0,"",IF(INDEX('Прайс и заказ'!F:F,$J521)="","",INDEX('Прайс и заказ'!F:F,$J521)))</f>
      </c>
      <c r="F521" s="62" t="str">
        <f>IF($J521=0,"",IF(INDEX('Прайс и заказ'!I:I,$J521)="","",INDEX('Прайс и заказ'!I:I,$J521)))</f>
      </c>
      <c r="G521" s="63" t="str">
        <f>IF($J521=0,"",IF(INDEX('Прайс и заказ'!K:K,$J521)="","",INDEX('Прайс и заказ'!K:K,$J521)))</f>
      </c>
      <c r="H521" s="62" t="str">
        <f>IF($J521=0,"",IF(INDEX('Прайс и заказ'!L:L,$J521)="","",INDEX('Прайс и заказ'!L:L,$J521)))</f>
      </c>
      <c r="I521" s="13" t="str">
        <f>IF($J521=0,"",IF(INDEX('Прайс и заказ'!M:M,$J521)="","",INDEX('Прайс и заказ'!M:M,$J521)))</f>
      </c>
      <c r="J521" t="str">
        <f>IFERROR(MATCH(513,'Прайс и заказ'!$N$7:$N$781,0)+6,0)</f>
      </c>
    </row>
    <row r="522" spans="1:11" customHeight="1" ht="40">
      <c r="A522" s="13" t="str">
        <f>IF($J522=0,"",IFERROR(_xlfn.IMAGE(INDEX('Прайс и заказ'!$O:$O,$J522)),""))</f>
      </c>
      <c r="B522" s="61" t="str">
        <f>IF($J522=0,"",IF(INDEX('Прайс и заказ'!B:B,$J522)="","",INDEX('Прайс и заказ'!B:B,$J522)))</f>
      </c>
      <c r="C522" s="64" t="str">
        <f>IF($J522=0,"",IF(INDEX('Прайс и заказ'!C:C,$J522)="","",INDEX('Прайс и заказ'!C:C,$J522)))</f>
      </c>
      <c r="D522" s="64" t="str">
        <f>IF($J522=0,"",IF(INDEX('Прайс и заказ'!D:D,$J522)="","",INDEX('Прайс и заказ'!D:D,$J522)))</f>
      </c>
      <c r="E522" s="61" t="str">
        <f>IF($J522=0,"",IF(INDEX('Прайс и заказ'!F:F,$J522)="","",INDEX('Прайс и заказ'!F:F,$J522)))</f>
      </c>
      <c r="F522" s="62" t="str">
        <f>IF($J522=0,"",IF(INDEX('Прайс и заказ'!I:I,$J522)="","",INDEX('Прайс и заказ'!I:I,$J522)))</f>
      </c>
      <c r="G522" s="63" t="str">
        <f>IF($J522=0,"",IF(INDEX('Прайс и заказ'!K:K,$J522)="","",INDEX('Прайс и заказ'!K:K,$J522)))</f>
      </c>
      <c r="H522" s="62" t="str">
        <f>IF($J522=0,"",IF(INDEX('Прайс и заказ'!L:L,$J522)="","",INDEX('Прайс и заказ'!L:L,$J522)))</f>
      </c>
      <c r="I522" s="13" t="str">
        <f>IF($J522=0,"",IF(INDEX('Прайс и заказ'!M:M,$J522)="","",INDEX('Прайс и заказ'!M:M,$J522)))</f>
      </c>
      <c r="J522" t="str">
        <f>IFERROR(MATCH(514,'Прайс и заказ'!$N$7:$N$781,0)+6,0)</f>
      </c>
    </row>
    <row r="523" spans="1:11" customHeight="1" ht="40">
      <c r="A523" s="13" t="str">
        <f>IF($J523=0,"",IFERROR(_xlfn.IMAGE(INDEX('Прайс и заказ'!$O:$O,$J523)),""))</f>
      </c>
      <c r="B523" s="61" t="str">
        <f>IF($J523=0,"",IF(INDEX('Прайс и заказ'!B:B,$J523)="","",INDEX('Прайс и заказ'!B:B,$J523)))</f>
      </c>
      <c r="C523" s="64" t="str">
        <f>IF($J523=0,"",IF(INDEX('Прайс и заказ'!C:C,$J523)="","",INDEX('Прайс и заказ'!C:C,$J523)))</f>
      </c>
      <c r="D523" s="64" t="str">
        <f>IF($J523=0,"",IF(INDEX('Прайс и заказ'!D:D,$J523)="","",INDEX('Прайс и заказ'!D:D,$J523)))</f>
      </c>
      <c r="E523" s="61" t="str">
        <f>IF($J523=0,"",IF(INDEX('Прайс и заказ'!F:F,$J523)="","",INDEX('Прайс и заказ'!F:F,$J523)))</f>
      </c>
      <c r="F523" s="62" t="str">
        <f>IF($J523=0,"",IF(INDEX('Прайс и заказ'!I:I,$J523)="","",INDEX('Прайс и заказ'!I:I,$J523)))</f>
      </c>
      <c r="G523" s="63" t="str">
        <f>IF($J523=0,"",IF(INDEX('Прайс и заказ'!K:K,$J523)="","",INDEX('Прайс и заказ'!K:K,$J523)))</f>
      </c>
      <c r="H523" s="62" t="str">
        <f>IF($J523=0,"",IF(INDEX('Прайс и заказ'!L:L,$J523)="","",INDEX('Прайс и заказ'!L:L,$J523)))</f>
      </c>
      <c r="I523" s="13" t="str">
        <f>IF($J523=0,"",IF(INDEX('Прайс и заказ'!M:M,$J523)="","",INDEX('Прайс и заказ'!M:M,$J523)))</f>
      </c>
      <c r="J523" t="str">
        <f>IFERROR(MATCH(515,'Прайс и заказ'!$N$7:$N$781,0)+6,0)</f>
      </c>
    </row>
    <row r="524" spans="1:11" customHeight="1" ht="40">
      <c r="A524" s="13" t="str">
        <f>IF($J524=0,"",IFERROR(_xlfn.IMAGE(INDEX('Прайс и заказ'!$O:$O,$J524)),""))</f>
      </c>
      <c r="B524" s="61" t="str">
        <f>IF($J524=0,"",IF(INDEX('Прайс и заказ'!B:B,$J524)="","",INDEX('Прайс и заказ'!B:B,$J524)))</f>
      </c>
      <c r="C524" s="64" t="str">
        <f>IF($J524=0,"",IF(INDEX('Прайс и заказ'!C:C,$J524)="","",INDEX('Прайс и заказ'!C:C,$J524)))</f>
      </c>
      <c r="D524" s="64" t="str">
        <f>IF($J524=0,"",IF(INDEX('Прайс и заказ'!D:D,$J524)="","",INDEX('Прайс и заказ'!D:D,$J524)))</f>
      </c>
      <c r="E524" s="61" t="str">
        <f>IF($J524=0,"",IF(INDEX('Прайс и заказ'!F:F,$J524)="","",INDEX('Прайс и заказ'!F:F,$J524)))</f>
      </c>
      <c r="F524" s="62" t="str">
        <f>IF($J524=0,"",IF(INDEX('Прайс и заказ'!I:I,$J524)="","",INDEX('Прайс и заказ'!I:I,$J524)))</f>
      </c>
      <c r="G524" s="63" t="str">
        <f>IF($J524=0,"",IF(INDEX('Прайс и заказ'!K:K,$J524)="","",INDEX('Прайс и заказ'!K:K,$J524)))</f>
      </c>
      <c r="H524" s="62" t="str">
        <f>IF($J524=0,"",IF(INDEX('Прайс и заказ'!L:L,$J524)="","",INDEX('Прайс и заказ'!L:L,$J524)))</f>
      </c>
      <c r="I524" s="13" t="str">
        <f>IF($J524=0,"",IF(INDEX('Прайс и заказ'!M:M,$J524)="","",INDEX('Прайс и заказ'!M:M,$J524)))</f>
      </c>
      <c r="J524" t="str">
        <f>IFERROR(MATCH(516,'Прайс и заказ'!$N$7:$N$781,0)+6,0)</f>
      </c>
    </row>
    <row r="525" spans="1:11" customHeight="1" ht="40">
      <c r="A525" s="13" t="str">
        <f>IF($J525=0,"",IFERROR(_xlfn.IMAGE(INDEX('Прайс и заказ'!$O:$O,$J525)),""))</f>
      </c>
      <c r="B525" s="61" t="str">
        <f>IF($J525=0,"",IF(INDEX('Прайс и заказ'!B:B,$J525)="","",INDEX('Прайс и заказ'!B:B,$J525)))</f>
      </c>
      <c r="C525" s="64" t="str">
        <f>IF($J525=0,"",IF(INDEX('Прайс и заказ'!C:C,$J525)="","",INDEX('Прайс и заказ'!C:C,$J525)))</f>
      </c>
      <c r="D525" s="64" t="str">
        <f>IF($J525=0,"",IF(INDEX('Прайс и заказ'!D:D,$J525)="","",INDEX('Прайс и заказ'!D:D,$J525)))</f>
      </c>
      <c r="E525" s="61" t="str">
        <f>IF($J525=0,"",IF(INDEX('Прайс и заказ'!F:F,$J525)="","",INDEX('Прайс и заказ'!F:F,$J525)))</f>
      </c>
      <c r="F525" s="62" t="str">
        <f>IF($J525=0,"",IF(INDEX('Прайс и заказ'!I:I,$J525)="","",INDEX('Прайс и заказ'!I:I,$J525)))</f>
      </c>
      <c r="G525" s="63" t="str">
        <f>IF($J525=0,"",IF(INDEX('Прайс и заказ'!K:K,$J525)="","",INDEX('Прайс и заказ'!K:K,$J525)))</f>
      </c>
      <c r="H525" s="62" t="str">
        <f>IF($J525=0,"",IF(INDEX('Прайс и заказ'!L:L,$J525)="","",INDEX('Прайс и заказ'!L:L,$J525)))</f>
      </c>
      <c r="I525" s="13" t="str">
        <f>IF($J525=0,"",IF(INDEX('Прайс и заказ'!M:M,$J525)="","",INDEX('Прайс и заказ'!M:M,$J525)))</f>
      </c>
      <c r="J525" t="str">
        <f>IFERROR(MATCH(517,'Прайс и заказ'!$N$7:$N$781,0)+6,0)</f>
      </c>
    </row>
    <row r="526" spans="1:11" customHeight="1" ht="40">
      <c r="A526" s="13" t="str">
        <f>IF($J526=0,"",IFERROR(_xlfn.IMAGE(INDEX('Прайс и заказ'!$O:$O,$J526)),""))</f>
      </c>
      <c r="B526" s="61" t="str">
        <f>IF($J526=0,"",IF(INDEX('Прайс и заказ'!B:B,$J526)="","",INDEX('Прайс и заказ'!B:B,$J526)))</f>
      </c>
      <c r="C526" s="64" t="str">
        <f>IF($J526=0,"",IF(INDEX('Прайс и заказ'!C:C,$J526)="","",INDEX('Прайс и заказ'!C:C,$J526)))</f>
      </c>
      <c r="D526" s="64" t="str">
        <f>IF($J526=0,"",IF(INDEX('Прайс и заказ'!D:D,$J526)="","",INDEX('Прайс и заказ'!D:D,$J526)))</f>
      </c>
      <c r="E526" s="61" t="str">
        <f>IF($J526=0,"",IF(INDEX('Прайс и заказ'!F:F,$J526)="","",INDEX('Прайс и заказ'!F:F,$J526)))</f>
      </c>
      <c r="F526" s="62" t="str">
        <f>IF($J526=0,"",IF(INDEX('Прайс и заказ'!I:I,$J526)="","",INDEX('Прайс и заказ'!I:I,$J526)))</f>
      </c>
      <c r="G526" s="63" t="str">
        <f>IF($J526=0,"",IF(INDEX('Прайс и заказ'!K:K,$J526)="","",INDEX('Прайс и заказ'!K:K,$J526)))</f>
      </c>
      <c r="H526" s="62" t="str">
        <f>IF($J526=0,"",IF(INDEX('Прайс и заказ'!L:L,$J526)="","",INDEX('Прайс и заказ'!L:L,$J526)))</f>
      </c>
      <c r="I526" s="13" t="str">
        <f>IF($J526=0,"",IF(INDEX('Прайс и заказ'!M:M,$J526)="","",INDEX('Прайс и заказ'!M:M,$J526)))</f>
      </c>
      <c r="J526" t="str">
        <f>IFERROR(MATCH(518,'Прайс и заказ'!$N$7:$N$781,0)+6,0)</f>
      </c>
    </row>
    <row r="527" spans="1:11" customHeight="1" ht="40">
      <c r="A527" s="13" t="str">
        <f>IF($J527=0,"",IFERROR(_xlfn.IMAGE(INDEX('Прайс и заказ'!$O:$O,$J527)),""))</f>
      </c>
      <c r="B527" s="61" t="str">
        <f>IF($J527=0,"",IF(INDEX('Прайс и заказ'!B:B,$J527)="","",INDEX('Прайс и заказ'!B:B,$J527)))</f>
      </c>
      <c r="C527" s="64" t="str">
        <f>IF($J527=0,"",IF(INDEX('Прайс и заказ'!C:C,$J527)="","",INDEX('Прайс и заказ'!C:C,$J527)))</f>
      </c>
      <c r="D527" s="64" t="str">
        <f>IF($J527=0,"",IF(INDEX('Прайс и заказ'!D:D,$J527)="","",INDEX('Прайс и заказ'!D:D,$J527)))</f>
      </c>
      <c r="E527" s="61" t="str">
        <f>IF($J527=0,"",IF(INDEX('Прайс и заказ'!F:F,$J527)="","",INDEX('Прайс и заказ'!F:F,$J527)))</f>
      </c>
      <c r="F527" s="62" t="str">
        <f>IF($J527=0,"",IF(INDEX('Прайс и заказ'!I:I,$J527)="","",INDEX('Прайс и заказ'!I:I,$J527)))</f>
      </c>
      <c r="G527" s="63" t="str">
        <f>IF($J527=0,"",IF(INDEX('Прайс и заказ'!K:K,$J527)="","",INDEX('Прайс и заказ'!K:K,$J527)))</f>
      </c>
      <c r="H527" s="62" t="str">
        <f>IF($J527=0,"",IF(INDEX('Прайс и заказ'!L:L,$J527)="","",INDEX('Прайс и заказ'!L:L,$J527)))</f>
      </c>
      <c r="I527" s="13" t="str">
        <f>IF($J527=0,"",IF(INDEX('Прайс и заказ'!M:M,$J527)="","",INDEX('Прайс и заказ'!M:M,$J527)))</f>
      </c>
      <c r="J527" t="str">
        <f>IFERROR(MATCH(519,'Прайс и заказ'!$N$7:$N$781,0)+6,0)</f>
      </c>
    </row>
    <row r="528" spans="1:11" customHeight="1" ht="40">
      <c r="A528" s="13" t="str">
        <f>IF($J528=0,"",IFERROR(_xlfn.IMAGE(INDEX('Прайс и заказ'!$O:$O,$J528)),""))</f>
      </c>
      <c r="B528" s="61" t="str">
        <f>IF($J528=0,"",IF(INDEX('Прайс и заказ'!B:B,$J528)="","",INDEX('Прайс и заказ'!B:B,$J528)))</f>
      </c>
      <c r="C528" s="64" t="str">
        <f>IF($J528=0,"",IF(INDEX('Прайс и заказ'!C:C,$J528)="","",INDEX('Прайс и заказ'!C:C,$J528)))</f>
      </c>
      <c r="D528" s="64" t="str">
        <f>IF($J528=0,"",IF(INDEX('Прайс и заказ'!D:D,$J528)="","",INDEX('Прайс и заказ'!D:D,$J528)))</f>
      </c>
      <c r="E528" s="61" t="str">
        <f>IF($J528=0,"",IF(INDEX('Прайс и заказ'!F:F,$J528)="","",INDEX('Прайс и заказ'!F:F,$J528)))</f>
      </c>
      <c r="F528" s="62" t="str">
        <f>IF($J528=0,"",IF(INDEX('Прайс и заказ'!I:I,$J528)="","",INDEX('Прайс и заказ'!I:I,$J528)))</f>
      </c>
      <c r="G528" s="63" t="str">
        <f>IF($J528=0,"",IF(INDEX('Прайс и заказ'!K:K,$J528)="","",INDEX('Прайс и заказ'!K:K,$J528)))</f>
      </c>
      <c r="H528" s="62" t="str">
        <f>IF($J528=0,"",IF(INDEX('Прайс и заказ'!L:L,$J528)="","",INDEX('Прайс и заказ'!L:L,$J528)))</f>
      </c>
      <c r="I528" s="13" t="str">
        <f>IF($J528=0,"",IF(INDEX('Прайс и заказ'!M:M,$J528)="","",INDEX('Прайс и заказ'!M:M,$J528)))</f>
      </c>
      <c r="J528" t="str">
        <f>IFERROR(MATCH(520,'Прайс и заказ'!$N$7:$N$781,0)+6,0)</f>
      </c>
    </row>
    <row r="529" spans="1:11" customHeight="1" ht="40">
      <c r="A529" s="13" t="str">
        <f>IF($J529=0,"",IFERROR(_xlfn.IMAGE(INDEX('Прайс и заказ'!$O:$O,$J529)),""))</f>
      </c>
      <c r="B529" s="61" t="str">
        <f>IF($J529=0,"",IF(INDEX('Прайс и заказ'!B:B,$J529)="","",INDEX('Прайс и заказ'!B:B,$J529)))</f>
      </c>
      <c r="C529" s="64" t="str">
        <f>IF($J529=0,"",IF(INDEX('Прайс и заказ'!C:C,$J529)="","",INDEX('Прайс и заказ'!C:C,$J529)))</f>
      </c>
      <c r="D529" s="64" t="str">
        <f>IF($J529=0,"",IF(INDEX('Прайс и заказ'!D:D,$J529)="","",INDEX('Прайс и заказ'!D:D,$J529)))</f>
      </c>
      <c r="E529" s="61" t="str">
        <f>IF($J529=0,"",IF(INDEX('Прайс и заказ'!F:F,$J529)="","",INDEX('Прайс и заказ'!F:F,$J529)))</f>
      </c>
      <c r="F529" s="62" t="str">
        <f>IF($J529=0,"",IF(INDEX('Прайс и заказ'!I:I,$J529)="","",INDEX('Прайс и заказ'!I:I,$J529)))</f>
      </c>
      <c r="G529" s="63" t="str">
        <f>IF($J529=0,"",IF(INDEX('Прайс и заказ'!K:K,$J529)="","",INDEX('Прайс и заказ'!K:K,$J529)))</f>
      </c>
      <c r="H529" s="62" t="str">
        <f>IF($J529=0,"",IF(INDEX('Прайс и заказ'!L:L,$J529)="","",INDEX('Прайс и заказ'!L:L,$J529)))</f>
      </c>
      <c r="I529" s="13" t="str">
        <f>IF($J529=0,"",IF(INDEX('Прайс и заказ'!M:M,$J529)="","",INDEX('Прайс и заказ'!M:M,$J529)))</f>
      </c>
      <c r="J529" t="str">
        <f>IFERROR(MATCH(521,'Прайс и заказ'!$N$7:$N$781,0)+6,0)</f>
      </c>
    </row>
    <row r="530" spans="1:11" customHeight="1" ht="40">
      <c r="A530" s="13" t="str">
        <f>IF($J530=0,"",IFERROR(_xlfn.IMAGE(INDEX('Прайс и заказ'!$O:$O,$J530)),""))</f>
      </c>
      <c r="B530" s="61" t="str">
        <f>IF($J530=0,"",IF(INDEX('Прайс и заказ'!B:B,$J530)="","",INDEX('Прайс и заказ'!B:B,$J530)))</f>
      </c>
      <c r="C530" s="64" t="str">
        <f>IF($J530=0,"",IF(INDEX('Прайс и заказ'!C:C,$J530)="","",INDEX('Прайс и заказ'!C:C,$J530)))</f>
      </c>
      <c r="D530" s="64" t="str">
        <f>IF($J530=0,"",IF(INDEX('Прайс и заказ'!D:D,$J530)="","",INDEX('Прайс и заказ'!D:D,$J530)))</f>
      </c>
      <c r="E530" s="61" t="str">
        <f>IF($J530=0,"",IF(INDEX('Прайс и заказ'!F:F,$J530)="","",INDEX('Прайс и заказ'!F:F,$J530)))</f>
      </c>
      <c r="F530" s="62" t="str">
        <f>IF($J530=0,"",IF(INDEX('Прайс и заказ'!I:I,$J530)="","",INDEX('Прайс и заказ'!I:I,$J530)))</f>
      </c>
      <c r="G530" s="63" t="str">
        <f>IF($J530=0,"",IF(INDEX('Прайс и заказ'!K:K,$J530)="","",INDEX('Прайс и заказ'!K:K,$J530)))</f>
      </c>
      <c r="H530" s="62" t="str">
        <f>IF($J530=0,"",IF(INDEX('Прайс и заказ'!L:L,$J530)="","",INDEX('Прайс и заказ'!L:L,$J530)))</f>
      </c>
      <c r="I530" s="13" t="str">
        <f>IF($J530=0,"",IF(INDEX('Прайс и заказ'!M:M,$J530)="","",INDEX('Прайс и заказ'!M:M,$J530)))</f>
      </c>
      <c r="J530" t="str">
        <f>IFERROR(MATCH(522,'Прайс и заказ'!$N$7:$N$781,0)+6,0)</f>
      </c>
    </row>
    <row r="531" spans="1:11" customHeight="1" ht="40">
      <c r="A531" s="13" t="str">
        <f>IF($J531=0,"",IFERROR(_xlfn.IMAGE(INDEX('Прайс и заказ'!$O:$O,$J531)),""))</f>
      </c>
      <c r="B531" s="61" t="str">
        <f>IF($J531=0,"",IF(INDEX('Прайс и заказ'!B:B,$J531)="","",INDEX('Прайс и заказ'!B:B,$J531)))</f>
      </c>
      <c r="C531" s="64" t="str">
        <f>IF($J531=0,"",IF(INDEX('Прайс и заказ'!C:C,$J531)="","",INDEX('Прайс и заказ'!C:C,$J531)))</f>
      </c>
      <c r="D531" s="64" t="str">
        <f>IF($J531=0,"",IF(INDEX('Прайс и заказ'!D:D,$J531)="","",INDEX('Прайс и заказ'!D:D,$J531)))</f>
      </c>
      <c r="E531" s="61" t="str">
        <f>IF($J531=0,"",IF(INDEX('Прайс и заказ'!F:F,$J531)="","",INDEX('Прайс и заказ'!F:F,$J531)))</f>
      </c>
      <c r="F531" s="62" t="str">
        <f>IF($J531=0,"",IF(INDEX('Прайс и заказ'!I:I,$J531)="","",INDEX('Прайс и заказ'!I:I,$J531)))</f>
      </c>
      <c r="G531" s="63" t="str">
        <f>IF($J531=0,"",IF(INDEX('Прайс и заказ'!K:K,$J531)="","",INDEX('Прайс и заказ'!K:K,$J531)))</f>
      </c>
      <c r="H531" s="62" t="str">
        <f>IF($J531=0,"",IF(INDEX('Прайс и заказ'!L:L,$J531)="","",INDEX('Прайс и заказ'!L:L,$J531)))</f>
      </c>
      <c r="I531" s="13" t="str">
        <f>IF($J531=0,"",IF(INDEX('Прайс и заказ'!M:M,$J531)="","",INDEX('Прайс и заказ'!M:M,$J531)))</f>
      </c>
      <c r="J531" t="str">
        <f>IFERROR(MATCH(523,'Прайс и заказ'!$N$7:$N$781,0)+6,0)</f>
      </c>
    </row>
    <row r="532" spans="1:11" customHeight="1" ht="40">
      <c r="A532" s="13" t="str">
        <f>IF($J532=0,"",IFERROR(_xlfn.IMAGE(INDEX('Прайс и заказ'!$O:$O,$J532)),""))</f>
      </c>
      <c r="B532" s="61" t="str">
        <f>IF($J532=0,"",IF(INDEX('Прайс и заказ'!B:B,$J532)="","",INDEX('Прайс и заказ'!B:B,$J532)))</f>
      </c>
      <c r="C532" s="64" t="str">
        <f>IF($J532=0,"",IF(INDEX('Прайс и заказ'!C:C,$J532)="","",INDEX('Прайс и заказ'!C:C,$J532)))</f>
      </c>
      <c r="D532" s="64" t="str">
        <f>IF($J532=0,"",IF(INDEX('Прайс и заказ'!D:D,$J532)="","",INDEX('Прайс и заказ'!D:D,$J532)))</f>
      </c>
      <c r="E532" s="61" t="str">
        <f>IF($J532=0,"",IF(INDEX('Прайс и заказ'!F:F,$J532)="","",INDEX('Прайс и заказ'!F:F,$J532)))</f>
      </c>
      <c r="F532" s="62" t="str">
        <f>IF($J532=0,"",IF(INDEX('Прайс и заказ'!I:I,$J532)="","",INDEX('Прайс и заказ'!I:I,$J532)))</f>
      </c>
      <c r="G532" s="63" t="str">
        <f>IF($J532=0,"",IF(INDEX('Прайс и заказ'!K:K,$J532)="","",INDEX('Прайс и заказ'!K:K,$J532)))</f>
      </c>
      <c r="H532" s="62" t="str">
        <f>IF($J532=0,"",IF(INDEX('Прайс и заказ'!L:L,$J532)="","",INDEX('Прайс и заказ'!L:L,$J532)))</f>
      </c>
      <c r="I532" s="13" t="str">
        <f>IF($J532=0,"",IF(INDEX('Прайс и заказ'!M:M,$J532)="","",INDEX('Прайс и заказ'!M:M,$J532)))</f>
      </c>
      <c r="J532" t="str">
        <f>IFERROR(MATCH(524,'Прайс и заказ'!$N$7:$N$781,0)+6,0)</f>
      </c>
    </row>
    <row r="533" spans="1:11" customHeight="1" ht="40">
      <c r="A533" s="13" t="str">
        <f>IF($J533=0,"",IFERROR(_xlfn.IMAGE(INDEX('Прайс и заказ'!$O:$O,$J533)),""))</f>
      </c>
      <c r="B533" s="61" t="str">
        <f>IF($J533=0,"",IF(INDEX('Прайс и заказ'!B:B,$J533)="","",INDEX('Прайс и заказ'!B:B,$J533)))</f>
      </c>
      <c r="C533" s="64" t="str">
        <f>IF($J533=0,"",IF(INDEX('Прайс и заказ'!C:C,$J533)="","",INDEX('Прайс и заказ'!C:C,$J533)))</f>
      </c>
      <c r="D533" s="64" t="str">
        <f>IF($J533=0,"",IF(INDEX('Прайс и заказ'!D:D,$J533)="","",INDEX('Прайс и заказ'!D:D,$J533)))</f>
      </c>
      <c r="E533" s="61" t="str">
        <f>IF($J533=0,"",IF(INDEX('Прайс и заказ'!F:F,$J533)="","",INDEX('Прайс и заказ'!F:F,$J533)))</f>
      </c>
      <c r="F533" s="62" t="str">
        <f>IF($J533=0,"",IF(INDEX('Прайс и заказ'!I:I,$J533)="","",INDEX('Прайс и заказ'!I:I,$J533)))</f>
      </c>
      <c r="G533" s="63" t="str">
        <f>IF($J533=0,"",IF(INDEX('Прайс и заказ'!K:K,$J533)="","",INDEX('Прайс и заказ'!K:K,$J533)))</f>
      </c>
      <c r="H533" s="62" t="str">
        <f>IF($J533=0,"",IF(INDEX('Прайс и заказ'!L:L,$J533)="","",INDEX('Прайс и заказ'!L:L,$J533)))</f>
      </c>
      <c r="I533" s="13" t="str">
        <f>IF($J533=0,"",IF(INDEX('Прайс и заказ'!M:M,$J533)="","",INDEX('Прайс и заказ'!M:M,$J533)))</f>
      </c>
      <c r="J533" t="str">
        <f>IFERROR(MATCH(525,'Прайс и заказ'!$N$7:$N$781,0)+6,0)</f>
      </c>
    </row>
    <row r="534" spans="1:11" customHeight="1" ht="40">
      <c r="A534" s="13" t="str">
        <f>IF($J534=0,"",IFERROR(_xlfn.IMAGE(INDEX('Прайс и заказ'!$O:$O,$J534)),""))</f>
      </c>
      <c r="B534" s="61" t="str">
        <f>IF($J534=0,"",IF(INDEX('Прайс и заказ'!B:B,$J534)="","",INDEX('Прайс и заказ'!B:B,$J534)))</f>
      </c>
      <c r="C534" s="64" t="str">
        <f>IF($J534=0,"",IF(INDEX('Прайс и заказ'!C:C,$J534)="","",INDEX('Прайс и заказ'!C:C,$J534)))</f>
      </c>
      <c r="D534" s="64" t="str">
        <f>IF($J534=0,"",IF(INDEX('Прайс и заказ'!D:D,$J534)="","",INDEX('Прайс и заказ'!D:D,$J534)))</f>
      </c>
      <c r="E534" s="61" t="str">
        <f>IF($J534=0,"",IF(INDEX('Прайс и заказ'!F:F,$J534)="","",INDEX('Прайс и заказ'!F:F,$J534)))</f>
      </c>
      <c r="F534" s="62" t="str">
        <f>IF($J534=0,"",IF(INDEX('Прайс и заказ'!I:I,$J534)="","",INDEX('Прайс и заказ'!I:I,$J534)))</f>
      </c>
      <c r="G534" s="63" t="str">
        <f>IF($J534=0,"",IF(INDEX('Прайс и заказ'!K:K,$J534)="","",INDEX('Прайс и заказ'!K:K,$J534)))</f>
      </c>
      <c r="H534" s="62" t="str">
        <f>IF($J534=0,"",IF(INDEX('Прайс и заказ'!L:L,$J534)="","",INDEX('Прайс и заказ'!L:L,$J534)))</f>
      </c>
      <c r="I534" s="13" t="str">
        <f>IF($J534=0,"",IF(INDEX('Прайс и заказ'!M:M,$J534)="","",INDEX('Прайс и заказ'!M:M,$J534)))</f>
      </c>
      <c r="J534" t="str">
        <f>IFERROR(MATCH(526,'Прайс и заказ'!$N$7:$N$781,0)+6,0)</f>
      </c>
    </row>
    <row r="535" spans="1:11" customHeight="1" ht="40">
      <c r="A535" s="13" t="str">
        <f>IF($J535=0,"",IFERROR(_xlfn.IMAGE(INDEX('Прайс и заказ'!$O:$O,$J535)),""))</f>
      </c>
      <c r="B535" s="61" t="str">
        <f>IF($J535=0,"",IF(INDEX('Прайс и заказ'!B:B,$J535)="","",INDEX('Прайс и заказ'!B:B,$J535)))</f>
      </c>
      <c r="C535" s="64" t="str">
        <f>IF($J535=0,"",IF(INDEX('Прайс и заказ'!C:C,$J535)="","",INDEX('Прайс и заказ'!C:C,$J535)))</f>
      </c>
      <c r="D535" s="64" t="str">
        <f>IF($J535=0,"",IF(INDEX('Прайс и заказ'!D:D,$J535)="","",INDEX('Прайс и заказ'!D:D,$J535)))</f>
      </c>
      <c r="E535" s="61" t="str">
        <f>IF($J535=0,"",IF(INDEX('Прайс и заказ'!F:F,$J535)="","",INDEX('Прайс и заказ'!F:F,$J535)))</f>
      </c>
      <c r="F535" s="62" t="str">
        <f>IF($J535=0,"",IF(INDEX('Прайс и заказ'!I:I,$J535)="","",INDEX('Прайс и заказ'!I:I,$J535)))</f>
      </c>
      <c r="G535" s="63" t="str">
        <f>IF($J535=0,"",IF(INDEX('Прайс и заказ'!K:K,$J535)="","",INDEX('Прайс и заказ'!K:K,$J535)))</f>
      </c>
      <c r="H535" s="62" t="str">
        <f>IF($J535=0,"",IF(INDEX('Прайс и заказ'!L:L,$J535)="","",INDEX('Прайс и заказ'!L:L,$J535)))</f>
      </c>
      <c r="I535" s="13" t="str">
        <f>IF($J535=0,"",IF(INDEX('Прайс и заказ'!M:M,$J535)="","",INDEX('Прайс и заказ'!M:M,$J535)))</f>
      </c>
      <c r="J535" t="str">
        <f>IFERROR(MATCH(527,'Прайс и заказ'!$N$7:$N$781,0)+6,0)</f>
      </c>
    </row>
    <row r="536" spans="1:11" customHeight="1" ht="40">
      <c r="A536" s="13" t="str">
        <f>IF($J536=0,"",IFERROR(_xlfn.IMAGE(INDEX('Прайс и заказ'!$O:$O,$J536)),""))</f>
      </c>
      <c r="B536" s="61" t="str">
        <f>IF($J536=0,"",IF(INDEX('Прайс и заказ'!B:B,$J536)="","",INDEX('Прайс и заказ'!B:B,$J536)))</f>
      </c>
      <c r="C536" s="64" t="str">
        <f>IF($J536=0,"",IF(INDEX('Прайс и заказ'!C:C,$J536)="","",INDEX('Прайс и заказ'!C:C,$J536)))</f>
      </c>
      <c r="D536" s="64" t="str">
        <f>IF($J536=0,"",IF(INDEX('Прайс и заказ'!D:D,$J536)="","",INDEX('Прайс и заказ'!D:D,$J536)))</f>
      </c>
      <c r="E536" s="61" t="str">
        <f>IF($J536=0,"",IF(INDEX('Прайс и заказ'!F:F,$J536)="","",INDEX('Прайс и заказ'!F:F,$J536)))</f>
      </c>
      <c r="F536" s="62" t="str">
        <f>IF($J536=0,"",IF(INDEX('Прайс и заказ'!I:I,$J536)="","",INDEX('Прайс и заказ'!I:I,$J536)))</f>
      </c>
      <c r="G536" s="63" t="str">
        <f>IF($J536=0,"",IF(INDEX('Прайс и заказ'!K:K,$J536)="","",INDEX('Прайс и заказ'!K:K,$J536)))</f>
      </c>
      <c r="H536" s="62" t="str">
        <f>IF($J536=0,"",IF(INDEX('Прайс и заказ'!L:L,$J536)="","",INDEX('Прайс и заказ'!L:L,$J536)))</f>
      </c>
      <c r="I536" s="13" t="str">
        <f>IF($J536=0,"",IF(INDEX('Прайс и заказ'!M:M,$J536)="","",INDEX('Прайс и заказ'!M:M,$J536)))</f>
      </c>
      <c r="J536" t="str">
        <f>IFERROR(MATCH(528,'Прайс и заказ'!$N$7:$N$781,0)+6,0)</f>
      </c>
    </row>
    <row r="537" spans="1:11" customHeight="1" ht="40">
      <c r="A537" s="13" t="str">
        <f>IF($J537=0,"",IFERROR(_xlfn.IMAGE(INDEX('Прайс и заказ'!$O:$O,$J537)),""))</f>
      </c>
      <c r="B537" s="61" t="str">
        <f>IF($J537=0,"",IF(INDEX('Прайс и заказ'!B:B,$J537)="","",INDEX('Прайс и заказ'!B:B,$J537)))</f>
      </c>
      <c r="C537" s="64" t="str">
        <f>IF($J537=0,"",IF(INDEX('Прайс и заказ'!C:C,$J537)="","",INDEX('Прайс и заказ'!C:C,$J537)))</f>
      </c>
      <c r="D537" s="64" t="str">
        <f>IF($J537=0,"",IF(INDEX('Прайс и заказ'!D:D,$J537)="","",INDEX('Прайс и заказ'!D:D,$J537)))</f>
      </c>
      <c r="E537" s="61" t="str">
        <f>IF($J537=0,"",IF(INDEX('Прайс и заказ'!F:F,$J537)="","",INDEX('Прайс и заказ'!F:F,$J537)))</f>
      </c>
      <c r="F537" s="62" t="str">
        <f>IF($J537=0,"",IF(INDEX('Прайс и заказ'!I:I,$J537)="","",INDEX('Прайс и заказ'!I:I,$J537)))</f>
      </c>
      <c r="G537" s="63" t="str">
        <f>IF($J537=0,"",IF(INDEX('Прайс и заказ'!K:K,$J537)="","",INDEX('Прайс и заказ'!K:K,$J537)))</f>
      </c>
      <c r="H537" s="62" t="str">
        <f>IF($J537=0,"",IF(INDEX('Прайс и заказ'!L:L,$J537)="","",INDEX('Прайс и заказ'!L:L,$J537)))</f>
      </c>
      <c r="I537" s="13" t="str">
        <f>IF($J537=0,"",IF(INDEX('Прайс и заказ'!M:M,$J537)="","",INDEX('Прайс и заказ'!M:M,$J537)))</f>
      </c>
      <c r="J537" t="str">
        <f>IFERROR(MATCH(529,'Прайс и заказ'!$N$7:$N$781,0)+6,0)</f>
      </c>
    </row>
    <row r="538" spans="1:11" customHeight="1" ht="40">
      <c r="A538" s="13" t="str">
        <f>IF($J538=0,"",IFERROR(_xlfn.IMAGE(INDEX('Прайс и заказ'!$O:$O,$J538)),""))</f>
      </c>
      <c r="B538" s="61" t="str">
        <f>IF($J538=0,"",IF(INDEX('Прайс и заказ'!B:B,$J538)="","",INDEX('Прайс и заказ'!B:B,$J538)))</f>
      </c>
      <c r="C538" s="64" t="str">
        <f>IF($J538=0,"",IF(INDEX('Прайс и заказ'!C:C,$J538)="","",INDEX('Прайс и заказ'!C:C,$J538)))</f>
      </c>
      <c r="D538" s="64" t="str">
        <f>IF($J538=0,"",IF(INDEX('Прайс и заказ'!D:D,$J538)="","",INDEX('Прайс и заказ'!D:D,$J538)))</f>
      </c>
      <c r="E538" s="61" t="str">
        <f>IF($J538=0,"",IF(INDEX('Прайс и заказ'!F:F,$J538)="","",INDEX('Прайс и заказ'!F:F,$J538)))</f>
      </c>
      <c r="F538" s="62" t="str">
        <f>IF($J538=0,"",IF(INDEX('Прайс и заказ'!I:I,$J538)="","",INDEX('Прайс и заказ'!I:I,$J538)))</f>
      </c>
      <c r="G538" s="63" t="str">
        <f>IF($J538=0,"",IF(INDEX('Прайс и заказ'!K:K,$J538)="","",INDEX('Прайс и заказ'!K:K,$J538)))</f>
      </c>
      <c r="H538" s="62" t="str">
        <f>IF($J538=0,"",IF(INDEX('Прайс и заказ'!L:L,$J538)="","",INDEX('Прайс и заказ'!L:L,$J538)))</f>
      </c>
      <c r="I538" s="13" t="str">
        <f>IF($J538=0,"",IF(INDEX('Прайс и заказ'!M:M,$J538)="","",INDEX('Прайс и заказ'!M:M,$J538)))</f>
      </c>
      <c r="J538" t="str">
        <f>IFERROR(MATCH(530,'Прайс и заказ'!$N$7:$N$781,0)+6,0)</f>
      </c>
    </row>
    <row r="539" spans="1:11" customHeight="1" ht="40">
      <c r="A539" s="13" t="str">
        <f>IF($J539=0,"",IFERROR(_xlfn.IMAGE(INDEX('Прайс и заказ'!$O:$O,$J539)),""))</f>
      </c>
      <c r="B539" s="61" t="str">
        <f>IF($J539=0,"",IF(INDEX('Прайс и заказ'!B:B,$J539)="","",INDEX('Прайс и заказ'!B:B,$J539)))</f>
      </c>
      <c r="C539" s="64" t="str">
        <f>IF($J539=0,"",IF(INDEX('Прайс и заказ'!C:C,$J539)="","",INDEX('Прайс и заказ'!C:C,$J539)))</f>
      </c>
      <c r="D539" s="64" t="str">
        <f>IF($J539=0,"",IF(INDEX('Прайс и заказ'!D:D,$J539)="","",INDEX('Прайс и заказ'!D:D,$J539)))</f>
      </c>
      <c r="E539" s="61" t="str">
        <f>IF($J539=0,"",IF(INDEX('Прайс и заказ'!F:F,$J539)="","",INDEX('Прайс и заказ'!F:F,$J539)))</f>
      </c>
      <c r="F539" s="62" t="str">
        <f>IF($J539=0,"",IF(INDEX('Прайс и заказ'!I:I,$J539)="","",INDEX('Прайс и заказ'!I:I,$J539)))</f>
      </c>
      <c r="G539" s="63" t="str">
        <f>IF($J539=0,"",IF(INDEX('Прайс и заказ'!K:K,$J539)="","",INDEX('Прайс и заказ'!K:K,$J539)))</f>
      </c>
      <c r="H539" s="62" t="str">
        <f>IF($J539=0,"",IF(INDEX('Прайс и заказ'!L:L,$J539)="","",INDEX('Прайс и заказ'!L:L,$J539)))</f>
      </c>
      <c r="I539" s="13" t="str">
        <f>IF($J539=0,"",IF(INDEX('Прайс и заказ'!M:M,$J539)="","",INDEX('Прайс и заказ'!M:M,$J539)))</f>
      </c>
      <c r="J539" t="str">
        <f>IFERROR(MATCH(531,'Прайс и заказ'!$N$7:$N$781,0)+6,0)</f>
      </c>
    </row>
    <row r="540" spans="1:11" customHeight="1" ht="40">
      <c r="A540" s="13" t="str">
        <f>IF($J540=0,"",IFERROR(_xlfn.IMAGE(INDEX('Прайс и заказ'!$O:$O,$J540)),""))</f>
      </c>
      <c r="B540" s="61" t="str">
        <f>IF($J540=0,"",IF(INDEX('Прайс и заказ'!B:B,$J540)="","",INDEX('Прайс и заказ'!B:B,$J540)))</f>
      </c>
      <c r="C540" s="64" t="str">
        <f>IF($J540=0,"",IF(INDEX('Прайс и заказ'!C:C,$J540)="","",INDEX('Прайс и заказ'!C:C,$J540)))</f>
      </c>
      <c r="D540" s="64" t="str">
        <f>IF($J540=0,"",IF(INDEX('Прайс и заказ'!D:D,$J540)="","",INDEX('Прайс и заказ'!D:D,$J540)))</f>
      </c>
      <c r="E540" s="61" t="str">
        <f>IF($J540=0,"",IF(INDEX('Прайс и заказ'!F:F,$J540)="","",INDEX('Прайс и заказ'!F:F,$J540)))</f>
      </c>
      <c r="F540" s="62" t="str">
        <f>IF($J540=0,"",IF(INDEX('Прайс и заказ'!I:I,$J540)="","",INDEX('Прайс и заказ'!I:I,$J540)))</f>
      </c>
      <c r="G540" s="63" t="str">
        <f>IF($J540=0,"",IF(INDEX('Прайс и заказ'!K:K,$J540)="","",INDEX('Прайс и заказ'!K:K,$J540)))</f>
      </c>
      <c r="H540" s="62" t="str">
        <f>IF($J540=0,"",IF(INDEX('Прайс и заказ'!L:L,$J540)="","",INDEX('Прайс и заказ'!L:L,$J540)))</f>
      </c>
      <c r="I540" s="13" t="str">
        <f>IF($J540=0,"",IF(INDEX('Прайс и заказ'!M:M,$J540)="","",INDEX('Прайс и заказ'!M:M,$J540)))</f>
      </c>
      <c r="J540" t="str">
        <f>IFERROR(MATCH(532,'Прайс и заказ'!$N$7:$N$781,0)+6,0)</f>
      </c>
    </row>
    <row r="541" spans="1:11" customHeight="1" ht="40">
      <c r="A541" s="13" t="str">
        <f>IF($J541=0,"",IFERROR(_xlfn.IMAGE(INDEX('Прайс и заказ'!$O:$O,$J541)),""))</f>
      </c>
      <c r="B541" s="61" t="str">
        <f>IF($J541=0,"",IF(INDEX('Прайс и заказ'!B:B,$J541)="","",INDEX('Прайс и заказ'!B:B,$J541)))</f>
      </c>
      <c r="C541" s="64" t="str">
        <f>IF($J541=0,"",IF(INDEX('Прайс и заказ'!C:C,$J541)="","",INDEX('Прайс и заказ'!C:C,$J541)))</f>
      </c>
      <c r="D541" s="64" t="str">
        <f>IF($J541=0,"",IF(INDEX('Прайс и заказ'!D:D,$J541)="","",INDEX('Прайс и заказ'!D:D,$J541)))</f>
      </c>
      <c r="E541" s="61" t="str">
        <f>IF($J541=0,"",IF(INDEX('Прайс и заказ'!F:F,$J541)="","",INDEX('Прайс и заказ'!F:F,$J541)))</f>
      </c>
      <c r="F541" s="62" t="str">
        <f>IF($J541=0,"",IF(INDEX('Прайс и заказ'!I:I,$J541)="","",INDEX('Прайс и заказ'!I:I,$J541)))</f>
      </c>
      <c r="G541" s="63" t="str">
        <f>IF($J541=0,"",IF(INDEX('Прайс и заказ'!K:K,$J541)="","",INDEX('Прайс и заказ'!K:K,$J541)))</f>
      </c>
      <c r="H541" s="62" t="str">
        <f>IF($J541=0,"",IF(INDEX('Прайс и заказ'!L:L,$J541)="","",INDEX('Прайс и заказ'!L:L,$J541)))</f>
      </c>
      <c r="I541" s="13" t="str">
        <f>IF($J541=0,"",IF(INDEX('Прайс и заказ'!M:M,$J541)="","",INDEX('Прайс и заказ'!M:M,$J541)))</f>
      </c>
      <c r="J541" t="str">
        <f>IFERROR(MATCH(533,'Прайс и заказ'!$N$7:$N$781,0)+6,0)</f>
      </c>
    </row>
    <row r="542" spans="1:11" customHeight="1" ht="40">
      <c r="A542" s="13" t="str">
        <f>IF($J542=0,"",IFERROR(_xlfn.IMAGE(INDEX('Прайс и заказ'!$O:$O,$J542)),""))</f>
      </c>
      <c r="B542" s="61" t="str">
        <f>IF($J542=0,"",IF(INDEX('Прайс и заказ'!B:B,$J542)="","",INDEX('Прайс и заказ'!B:B,$J542)))</f>
      </c>
      <c r="C542" s="64" t="str">
        <f>IF($J542=0,"",IF(INDEX('Прайс и заказ'!C:C,$J542)="","",INDEX('Прайс и заказ'!C:C,$J542)))</f>
      </c>
      <c r="D542" s="64" t="str">
        <f>IF($J542=0,"",IF(INDEX('Прайс и заказ'!D:D,$J542)="","",INDEX('Прайс и заказ'!D:D,$J542)))</f>
      </c>
      <c r="E542" s="61" t="str">
        <f>IF($J542=0,"",IF(INDEX('Прайс и заказ'!F:F,$J542)="","",INDEX('Прайс и заказ'!F:F,$J542)))</f>
      </c>
      <c r="F542" s="62" t="str">
        <f>IF($J542=0,"",IF(INDEX('Прайс и заказ'!I:I,$J542)="","",INDEX('Прайс и заказ'!I:I,$J542)))</f>
      </c>
      <c r="G542" s="63" t="str">
        <f>IF($J542=0,"",IF(INDEX('Прайс и заказ'!K:K,$J542)="","",INDEX('Прайс и заказ'!K:K,$J542)))</f>
      </c>
      <c r="H542" s="62" t="str">
        <f>IF($J542=0,"",IF(INDEX('Прайс и заказ'!L:L,$J542)="","",INDEX('Прайс и заказ'!L:L,$J542)))</f>
      </c>
      <c r="I542" s="13" t="str">
        <f>IF($J542=0,"",IF(INDEX('Прайс и заказ'!M:M,$J542)="","",INDEX('Прайс и заказ'!M:M,$J542)))</f>
      </c>
      <c r="J542" t="str">
        <f>IFERROR(MATCH(534,'Прайс и заказ'!$N$7:$N$781,0)+6,0)</f>
      </c>
    </row>
    <row r="543" spans="1:11" customHeight="1" ht="40">
      <c r="A543" s="13" t="str">
        <f>IF($J543=0,"",IFERROR(_xlfn.IMAGE(INDEX('Прайс и заказ'!$O:$O,$J543)),""))</f>
      </c>
      <c r="B543" s="61" t="str">
        <f>IF($J543=0,"",IF(INDEX('Прайс и заказ'!B:B,$J543)="","",INDEX('Прайс и заказ'!B:B,$J543)))</f>
      </c>
      <c r="C543" s="64" t="str">
        <f>IF($J543=0,"",IF(INDEX('Прайс и заказ'!C:C,$J543)="","",INDEX('Прайс и заказ'!C:C,$J543)))</f>
      </c>
      <c r="D543" s="64" t="str">
        <f>IF($J543=0,"",IF(INDEX('Прайс и заказ'!D:D,$J543)="","",INDEX('Прайс и заказ'!D:D,$J543)))</f>
      </c>
      <c r="E543" s="61" t="str">
        <f>IF($J543=0,"",IF(INDEX('Прайс и заказ'!F:F,$J543)="","",INDEX('Прайс и заказ'!F:F,$J543)))</f>
      </c>
      <c r="F543" s="62" t="str">
        <f>IF($J543=0,"",IF(INDEX('Прайс и заказ'!I:I,$J543)="","",INDEX('Прайс и заказ'!I:I,$J543)))</f>
      </c>
      <c r="G543" s="63" t="str">
        <f>IF($J543=0,"",IF(INDEX('Прайс и заказ'!K:K,$J543)="","",INDEX('Прайс и заказ'!K:K,$J543)))</f>
      </c>
      <c r="H543" s="62" t="str">
        <f>IF($J543=0,"",IF(INDEX('Прайс и заказ'!L:L,$J543)="","",INDEX('Прайс и заказ'!L:L,$J543)))</f>
      </c>
      <c r="I543" s="13" t="str">
        <f>IF($J543=0,"",IF(INDEX('Прайс и заказ'!M:M,$J543)="","",INDEX('Прайс и заказ'!M:M,$J543)))</f>
      </c>
      <c r="J543" t="str">
        <f>IFERROR(MATCH(535,'Прайс и заказ'!$N$7:$N$781,0)+6,0)</f>
      </c>
    </row>
    <row r="544" spans="1:11" customHeight="1" ht="40">
      <c r="A544" s="13" t="str">
        <f>IF($J544=0,"",IFERROR(_xlfn.IMAGE(INDEX('Прайс и заказ'!$O:$O,$J544)),""))</f>
      </c>
      <c r="B544" s="61" t="str">
        <f>IF($J544=0,"",IF(INDEX('Прайс и заказ'!B:B,$J544)="","",INDEX('Прайс и заказ'!B:B,$J544)))</f>
      </c>
      <c r="C544" s="64" t="str">
        <f>IF($J544=0,"",IF(INDEX('Прайс и заказ'!C:C,$J544)="","",INDEX('Прайс и заказ'!C:C,$J544)))</f>
      </c>
      <c r="D544" s="64" t="str">
        <f>IF($J544=0,"",IF(INDEX('Прайс и заказ'!D:D,$J544)="","",INDEX('Прайс и заказ'!D:D,$J544)))</f>
      </c>
      <c r="E544" s="61" t="str">
        <f>IF($J544=0,"",IF(INDEX('Прайс и заказ'!F:F,$J544)="","",INDEX('Прайс и заказ'!F:F,$J544)))</f>
      </c>
      <c r="F544" s="62" t="str">
        <f>IF($J544=0,"",IF(INDEX('Прайс и заказ'!I:I,$J544)="","",INDEX('Прайс и заказ'!I:I,$J544)))</f>
      </c>
      <c r="G544" s="63" t="str">
        <f>IF($J544=0,"",IF(INDEX('Прайс и заказ'!K:K,$J544)="","",INDEX('Прайс и заказ'!K:K,$J544)))</f>
      </c>
      <c r="H544" s="62" t="str">
        <f>IF($J544=0,"",IF(INDEX('Прайс и заказ'!L:L,$J544)="","",INDEX('Прайс и заказ'!L:L,$J544)))</f>
      </c>
      <c r="I544" s="13" t="str">
        <f>IF($J544=0,"",IF(INDEX('Прайс и заказ'!M:M,$J544)="","",INDEX('Прайс и заказ'!M:M,$J544)))</f>
      </c>
      <c r="J544" t="str">
        <f>IFERROR(MATCH(536,'Прайс и заказ'!$N$7:$N$781,0)+6,0)</f>
      </c>
    </row>
    <row r="545" spans="1:11" customHeight="1" ht="40">
      <c r="A545" s="13" t="str">
        <f>IF($J545=0,"",IFERROR(_xlfn.IMAGE(INDEX('Прайс и заказ'!$O:$O,$J545)),""))</f>
      </c>
      <c r="B545" s="61" t="str">
        <f>IF($J545=0,"",IF(INDEX('Прайс и заказ'!B:B,$J545)="","",INDEX('Прайс и заказ'!B:B,$J545)))</f>
      </c>
      <c r="C545" s="64" t="str">
        <f>IF($J545=0,"",IF(INDEX('Прайс и заказ'!C:C,$J545)="","",INDEX('Прайс и заказ'!C:C,$J545)))</f>
      </c>
      <c r="D545" s="64" t="str">
        <f>IF($J545=0,"",IF(INDEX('Прайс и заказ'!D:D,$J545)="","",INDEX('Прайс и заказ'!D:D,$J545)))</f>
      </c>
      <c r="E545" s="61" t="str">
        <f>IF($J545=0,"",IF(INDEX('Прайс и заказ'!F:F,$J545)="","",INDEX('Прайс и заказ'!F:F,$J545)))</f>
      </c>
      <c r="F545" s="62" t="str">
        <f>IF($J545=0,"",IF(INDEX('Прайс и заказ'!I:I,$J545)="","",INDEX('Прайс и заказ'!I:I,$J545)))</f>
      </c>
      <c r="G545" s="63" t="str">
        <f>IF($J545=0,"",IF(INDEX('Прайс и заказ'!K:K,$J545)="","",INDEX('Прайс и заказ'!K:K,$J545)))</f>
      </c>
      <c r="H545" s="62" t="str">
        <f>IF($J545=0,"",IF(INDEX('Прайс и заказ'!L:L,$J545)="","",INDEX('Прайс и заказ'!L:L,$J545)))</f>
      </c>
      <c r="I545" s="13" t="str">
        <f>IF($J545=0,"",IF(INDEX('Прайс и заказ'!M:M,$J545)="","",INDEX('Прайс и заказ'!M:M,$J545)))</f>
      </c>
      <c r="J545" t="str">
        <f>IFERROR(MATCH(537,'Прайс и заказ'!$N$7:$N$781,0)+6,0)</f>
      </c>
    </row>
    <row r="546" spans="1:11" customHeight="1" ht="40">
      <c r="A546" s="13" t="str">
        <f>IF($J546=0,"",IFERROR(_xlfn.IMAGE(INDEX('Прайс и заказ'!$O:$O,$J546)),""))</f>
      </c>
      <c r="B546" s="61" t="str">
        <f>IF($J546=0,"",IF(INDEX('Прайс и заказ'!B:B,$J546)="","",INDEX('Прайс и заказ'!B:B,$J546)))</f>
      </c>
      <c r="C546" s="64" t="str">
        <f>IF($J546=0,"",IF(INDEX('Прайс и заказ'!C:C,$J546)="","",INDEX('Прайс и заказ'!C:C,$J546)))</f>
      </c>
      <c r="D546" s="64" t="str">
        <f>IF($J546=0,"",IF(INDEX('Прайс и заказ'!D:D,$J546)="","",INDEX('Прайс и заказ'!D:D,$J546)))</f>
      </c>
      <c r="E546" s="61" t="str">
        <f>IF($J546=0,"",IF(INDEX('Прайс и заказ'!F:F,$J546)="","",INDEX('Прайс и заказ'!F:F,$J546)))</f>
      </c>
      <c r="F546" s="62" t="str">
        <f>IF($J546=0,"",IF(INDEX('Прайс и заказ'!I:I,$J546)="","",INDEX('Прайс и заказ'!I:I,$J546)))</f>
      </c>
      <c r="G546" s="63" t="str">
        <f>IF($J546=0,"",IF(INDEX('Прайс и заказ'!K:K,$J546)="","",INDEX('Прайс и заказ'!K:K,$J546)))</f>
      </c>
      <c r="H546" s="62" t="str">
        <f>IF($J546=0,"",IF(INDEX('Прайс и заказ'!L:L,$J546)="","",INDEX('Прайс и заказ'!L:L,$J546)))</f>
      </c>
      <c r="I546" s="13" t="str">
        <f>IF($J546=0,"",IF(INDEX('Прайс и заказ'!M:M,$J546)="","",INDEX('Прайс и заказ'!M:M,$J546)))</f>
      </c>
      <c r="J546" t="str">
        <f>IFERROR(MATCH(538,'Прайс и заказ'!$N$7:$N$781,0)+6,0)</f>
      </c>
    </row>
    <row r="547" spans="1:11" customHeight="1" ht="40">
      <c r="A547" s="13" t="str">
        <f>IF($J547=0,"",IFERROR(_xlfn.IMAGE(INDEX('Прайс и заказ'!$O:$O,$J547)),""))</f>
      </c>
      <c r="B547" s="61" t="str">
        <f>IF($J547=0,"",IF(INDEX('Прайс и заказ'!B:B,$J547)="","",INDEX('Прайс и заказ'!B:B,$J547)))</f>
      </c>
      <c r="C547" s="64" t="str">
        <f>IF($J547=0,"",IF(INDEX('Прайс и заказ'!C:C,$J547)="","",INDEX('Прайс и заказ'!C:C,$J547)))</f>
      </c>
      <c r="D547" s="64" t="str">
        <f>IF($J547=0,"",IF(INDEX('Прайс и заказ'!D:D,$J547)="","",INDEX('Прайс и заказ'!D:D,$J547)))</f>
      </c>
      <c r="E547" s="61" t="str">
        <f>IF($J547=0,"",IF(INDEX('Прайс и заказ'!F:F,$J547)="","",INDEX('Прайс и заказ'!F:F,$J547)))</f>
      </c>
      <c r="F547" s="62" t="str">
        <f>IF($J547=0,"",IF(INDEX('Прайс и заказ'!I:I,$J547)="","",INDEX('Прайс и заказ'!I:I,$J547)))</f>
      </c>
      <c r="G547" s="63" t="str">
        <f>IF($J547=0,"",IF(INDEX('Прайс и заказ'!K:K,$J547)="","",INDEX('Прайс и заказ'!K:K,$J547)))</f>
      </c>
      <c r="H547" s="62" t="str">
        <f>IF($J547=0,"",IF(INDEX('Прайс и заказ'!L:L,$J547)="","",INDEX('Прайс и заказ'!L:L,$J547)))</f>
      </c>
      <c r="I547" s="13" t="str">
        <f>IF($J547=0,"",IF(INDEX('Прайс и заказ'!M:M,$J547)="","",INDEX('Прайс и заказ'!M:M,$J547)))</f>
      </c>
      <c r="J547" t="str">
        <f>IFERROR(MATCH(539,'Прайс и заказ'!$N$7:$N$781,0)+6,0)</f>
      </c>
    </row>
    <row r="548" spans="1:11" customHeight="1" ht="40">
      <c r="A548" s="13" t="str">
        <f>IF($J548=0,"",IFERROR(_xlfn.IMAGE(INDEX('Прайс и заказ'!$O:$O,$J548)),""))</f>
      </c>
      <c r="B548" s="61" t="str">
        <f>IF($J548=0,"",IF(INDEX('Прайс и заказ'!B:B,$J548)="","",INDEX('Прайс и заказ'!B:B,$J548)))</f>
      </c>
      <c r="C548" s="64" t="str">
        <f>IF($J548=0,"",IF(INDEX('Прайс и заказ'!C:C,$J548)="","",INDEX('Прайс и заказ'!C:C,$J548)))</f>
      </c>
      <c r="D548" s="64" t="str">
        <f>IF($J548=0,"",IF(INDEX('Прайс и заказ'!D:D,$J548)="","",INDEX('Прайс и заказ'!D:D,$J548)))</f>
      </c>
      <c r="E548" s="61" t="str">
        <f>IF($J548=0,"",IF(INDEX('Прайс и заказ'!F:F,$J548)="","",INDEX('Прайс и заказ'!F:F,$J548)))</f>
      </c>
      <c r="F548" s="62" t="str">
        <f>IF($J548=0,"",IF(INDEX('Прайс и заказ'!I:I,$J548)="","",INDEX('Прайс и заказ'!I:I,$J548)))</f>
      </c>
      <c r="G548" s="63" t="str">
        <f>IF($J548=0,"",IF(INDEX('Прайс и заказ'!K:K,$J548)="","",INDEX('Прайс и заказ'!K:K,$J548)))</f>
      </c>
      <c r="H548" s="62" t="str">
        <f>IF($J548=0,"",IF(INDEX('Прайс и заказ'!L:L,$J548)="","",INDEX('Прайс и заказ'!L:L,$J548)))</f>
      </c>
      <c r="I548" s="13" t="str">
        <f>IF($J548=0,"",IF(INDEX('Прайс и заказ'!M:M,$J548)="","",INDEX('Прайс и заказ'!M:M,$J548)))</f>
      </c>
      <c r="J548" t="str">
        <f>IFERROR(MATCH(540,'Прайс и заказ'!$N$7:$N$781,0)+6,0)</f>
      </c>
    </row>
    <row r="549" spans="1:11" customHeight="1" ht="40">
      <c r="A549" s="13" t="str">
        <f>IF($J549=0,"",IFERROR(_xlfn.IMAGE(INDEX('Прайс и заказ'!$O:$O,$J549)),""))</f>
      </c>
      <c r="B549" s="61" t="str">
        <f>IF($J549=0,"",IF(INDEX('Прайс и заказ'!B:B,$J549)="","",INDEX('Прайс и заказ'!B:B,$J549)))</f>
      </c>
      <c r="C549" s="64" t="str">
        <f>IF($J549=0,"",IF(INDEX('Прайс и заказ'!C:C,$J549)="","",INDEX('Прайс и заказ'!C:C,$J549)))</f>
      </c>
      <c r="D549" s="64" t="str">
        <f>IF($J549=0,"",IF(INDEX('Прайс и заказ'!D:D,$J549)="","",INDEX('Прайс и заказ'!D:D,$J549)))</f>
      </c>
      <c r="E549" s="61" t="str">
        <f>IF($J549=0,"",IF(INDEX('Прайс и заказ'!F:F,$J549)="","",INDEX('Прайс и заказ'!F:F,$J549)))</f>
      </c>
      <c r="F549" s="62" t="str">
        <f>IF($J549=0,"",IF(INDEX('Прайс и заказ'!I:I,$J549)="","",INDEX('Прайс и заказ'!I:I,$J549)))</f>
      </c>
      <c r="G549" s="63" t="str">
        <f>IF($J549=0,"",IF(INDEX('Прайс и заказ'!K:K,$J549)="","",INDEX('Прайс и заказ'!K:K,$J549)))</f>
      </c>
      <c r="H549" s="62" t="str">
        <f>IF($J549=0,"",IF(INDEX('Прайс и заказ'!L:L,$J549)="","",INDEX('Прайс и заказ'!L:L,$J549)))</f>
      </c>
      <c r="I549" s="13" t="str">
        <f>IF($J549=0,"",IF(INDEX('Прайс и заказ'!M:M,$J549)="","",INDEX('Прайс и заказ'!M:M,$J549)))</f>
      </c>
      <c r="J549" t="str">
        <f>IFERROR(MATCH(541,'Прайс и заказ'!$N$7:$N$781,0)+6,0)</f>
      </c>
    </row>
    <row r="550" spans="1:11" customHeight="1" ht="40">
      <c r="A550" s="13" t="str">
        <f>IF($J550=0,"",IFERROR(_xlfn.IMAGE(INDEX('Прайс и заказ'!$O:$O,$J550)),""))</f>
      </c>
      <c r="B550" s="61" t="str">
        <f>IF($J550=0,"",IF(INDEX('Прайс и заказ'!B:B,$J550)="","",INDEX('Прайс и заказ'!B:B,$J550)))</f>
      </c>
      <c r="C550" s="64" t="str">
        <f>IF($J550=0,"",IF(INDEX('Прайс и заказ'!C:C,$J550)="","",INDEX('Прайс и заказ'!C:C,$J550)))</f>
      </c>
      <c r="D550" s="64" t="str">
        <f>IF($J550=0,"",IF(INDEX('Прайс и заказ'!D:D,$J550)="","",INDEX('Прайс и заказ'!D:D,$J550)))</f>
      </c>
      <c r="E550" s="61" t="str">
        <f>IF($J550=0,"",IF(INDEX('Прайс и заказ'!F:F,$J550)="","",INDEX('Прайс и заказ'!F:F,$J550)))</f>
      </c>
      <c r="F550" s="62" t="str">
        <f>IF($J550=0,"",IF(INDEX('Прайс и заказ'!I:I,$J550)="","",INDEX('Прайс и заказ'!I:I,$J550)))</f>
      </c>
      <c r="G550" s="63" t="str">
        <f>IF($J550=0,"",IF(INDEX('Прайс и заказ'!K:K,$J550)="","",INDEX('Прайс и заказ'!K:K,$J550)))</f>
      </c>
      <c r="H550" s="62" t="str">
        <f>IF($J550=0,"",IF(INDEX('Прайс и заказ'!L:L,$J550)="","",INDEX('Прайс и заказ'!L:L,$J550)))</f>
      </c>
      <c r="I550" s="13" t="str">
        <f>IF($J550=0,"",IF(INDEX('Прайс и заказ'!M:M,$J550)="","",INDEX('Прайс и заказ'!M:M,$J550)))</f>
      </c>
      <c r="J550" t="str">
        <f>IFERROR(MATCH(542,'Прайс и заказ'!$N$7:$N$781,0)+6,0)</f>
      </c>
    </row>
    <row r="551" spans="1:11" customHeight="1" ht="40">
      <c r="A551" s="13" t="str">
        <f>IF($J551=0,"",IFERROR(_xlfn.IMAGE(INDEX('Прайс и заказ'!$O:$O,$J551)),""))</f>
      </c>
      <c r="B551" s="61" t="str">
        <f>IF($J551=0,"",IF(INDEX('Прайс и заказ'!B:B,$J551)="","",INDEX('Прайс и заказ'!B:B,$J551)))</f>
      </c>
      <c r="C551" s="64" t="str">
        <f>IF($J551=0,"",IF(INDEX('Прайс и заказ'!C:C,$J551)="","",INDEX('Прайс и заказ'!C:C,$J551)))</f>
      </c>
      <c r="D551" s="64" t="str">
        <f>IF($J551=0,"",IF(INDEX('Прайс и заказ'!D:D,$J551)="","",INDEX('Прайс и заказ'!D:D,$J551)))</f>
      </c>
      <c r="E551" s="61" t="str">
        <f>IF($J551=0,"",IF(INDEX('Прайс и заказ'!F:F,$J551)="","",INDEX('Прайс и заказ'!F:F,$J551)))</f>
      </c>
      <c r="F551" s="62" t="str">
        <f>IF($J551=0,"",IF(INDEX('Прайс и заказ'!I:I,$J551)="","",INDEX('Прайс и заказ'!I:I,$J551)))</f>
      </c>
      <c r="G551" s="63" t="str">
        <f>IF($J551=0,"",IF(INDEX('Прайс и заказ'!K:K,$J551)="","",INDEX('Прайс и заказ'!K:K,$J551)))</f>
      </c>
      <c r="H551" s="62" t="str">
        <f>IF($J551=0,"",IF(INDEX('Прайс и заказ'!L:L,$J551)="","",INDEX('Прайс и заказ'!L:L,$J551)))</f>
      </c>
      <c r="I551" s="13" t="str">
        <f>IF($J551=0,"",IF(INDEX('Прайс и заказ'!M:M,$J551)="","",INDEX('Прайс и заказ'!M:M,$J551)))</f>
      </c>
      <c r="J551" t="str">
        <f>IFERROR(MATCH(543,'Прайс и заказ'!$N$7:$N$781,0)+6,0)</f>
      </c>
    </row>
    <row r="552" spans="1:11" customHeight="1" ht="40">
      <c r="A552" s="13" t="str">
        <f>IF($J552=0,"",IFERROR(_xlfn.IMAGE(INDEX('Прайс и заказ'!$O:$O,$J552)),""))</f>
      </c>
      <c r="B552" s="61" t="str">
        <f>IF($J552=0,"",IF(INDEX('Прайс и заказ'!B:B,$J552)="","",INDEX('Прайс и заказ'!B:B,$J552)))</f>
      </c>
      <c r="C552" s="64" t="str">
        <f>IF($J552=0,"",IF(INDEX('Прайс и заказ'!C:C,$J552)="","",INDEX('Прайс и заказ'!C:C,$J552)))</f>
      </c>
      <c r="D552" s="64" t="str">
        <f>IF($J552=0,"",IF(INDEX('Прайс и заказ'!D:D,$J552)="","",INDEX('Прайс и заказ'!D:D,$J552)))</f>
      </c>
      <c r="E552" s="61" t="str">
        <f>IF($J552=0,"",IF(INDEX('Прайс и заказ'!F:F,$J552)="","",INDEX('Прайс и заказ'!F:F,$J552)))</f>
      </c>
      <c r="F552" s="62" t="str">
        <f>IF($J552=0,"",IF(INDEX('Прайс и заказ'!I:I,$J552)="","",INDEX('Прайс и заказ'!I:I,$J552)))</f>
      </c>
      <c r="G552" s="63" t="str">
        <f>IF($J552=0,"",IF(INDEX('Прайс и заказ'!K:K,$J552)="","",INDEX('Прайс и заказ'!K:K,$J552)))</f>
      </c>
      <c r="H552" s="62" t="str">
        <f>IF($J552=0,"",IF(INDEX('Прайс и заказ'!L:L,$J552)="","",INDEX('Прайс и заказ'!L:L,$J552)))</f>
      </c>
      <c r="I552" s="13" t="str">
        <f>IF($J552=0,"",IF(INDEX('Прайс и заказ'!M:M,$J552)="","",INDEX('Прайс и заказ'!M:M,$J552)))</f>
      </c>
      <c r="J552" t="str">
        <f>IFERROR(MATCH(544,'Прайс и заказ'!$N$7:$N$781,0)+6,0)</f>
      </c>
    </row>
    <row r="553" spans="1:11" customHeight="1" ht="40">
      <c r="A553" s="13" t="str">
        <f>IF($J553=0,"",IFERROR(_xlfn.IMAGE(INDEX('Прайс и заказ'!$O:$O,$J553)),""))</f>
      </c>
      <c r="B553" s="61" t="str">
        <f>IF($J553=0,"",IF(INDEX('Прайс и заказ'!B:B,$J553)="","",INDEX('Прайс и заказ'!B:B,$J553)))</f>
      </c>
      <c r="C553" s="64" t="str">
        <f>IF($J553=0,"",IF(INDEX('Прайс и заказ'!C:C,$J553)="","",INDEX('Прайс и заказ'!C:C,$J553)))</f>
      </c>
      <c r="D553" s="64" t="str">
        <f>IF($J553=0,"",IF(INDEX('Прайс и заказ'!D:D,$J553)="","",INDEX('Прайс и заказ'!D:D,$J553)))</f>
      </c>
      <c r="E553" s="61" t="str">
        <f>IF($J553=0,"",IF(INDEX('Прайс и заказ'!F:F,$J553)="","",INDEX('Прайс и заказ'!F:F,$J553)))</f>
      </c>
      <c r="F553" s="62" t="str">
        <f>IF($J553=0,"",IF(INDEX('Прайс и заказ'!I:I,$J553)="","",INDEX('Прайс и заказ'!I:I,$J553)))</f>
      </c>
      <c r="G553" s="63" t="str">
        <f>IF($J553=0,"",IF(INDEX('Прайс и заказ'!K:K,$J553)="","",INDEX('Прайс и заказ'!K:K,$J553)))</f>
      </c>
      <c r="H553" s="62" t="str">
        <f>IF($J553=0,"",IF(INDEX('Прайс и заказ'!L:L,$J553)="","",INDEX('Прайс и заказ'!L:L,$J553)))</f>
      </c>
      <c r="I553" s="13" t="str">
        <f>IF($J553=0,"",IF(INDEX('Прайс и заказ'!M:M,$J553)="","",INDEX('Прайс и заказ'!M:M,$J553)))</f>
      </c>
      <c r="J553" t="str">
        <f>IFERROR(MATCH(545,'Прайс и заказ'!$N$7:$N$781,0)+6,0)</f>
      </c>
    </row>
    <row r="554" spans="1:11" customHeight="1" ht="40">
      <c r="A554" s="13" t="str">
        <f>IF($J554=0,"",IFERROR(_xlfn.IMAGE(INDEX('Прайс и заказ'!$O:$O,$J554)),""))</f>
      </c>
      <c r="B554" s="61" t="str">
        <f>IF($J554=0,"",IF(INDEX('Прайс и заказ'!B:B,$J554)="","",INDEX('Прайс и заказ'!B:B,$J554)))</f>
      </c>
      <c r="C554" s="64" t="str">
        <f>IF($J554=0,"",IF(INDEX('Прайс и заказ'!C:C,$J554)="","",INDEX('Прайс и заказ'!C:C,$J554)))</f>
      </c>
      <c r="D554" s="64" t="str">
        <f>IF($J554=0,"",IF(INDEX('Прайс и заказ'!D:D,$J554)="","",INDEX('Прайс и заказ'!D:D,$J554)))</f>
      </c>
      <c r="E554" s="61" t="str">
        <f>IF($J554=0,"",IF(INDEX('Прайс и заказ'!F:F,$J554)="","",INDEX('Прайс и заказ'!F:F,$J554)))</f>
      </c>
      <c r="F554" s="62" t="str">
        <f>IF($J554=0,"",IF(INDEX('Прайс и заказ'!I:I,$J554)="","",INDEX('Прайс и заказ'!I:I,$J554)))</f>
      </c>
      <c r="G554" s="63" t="str">
        <f>IF($J554=0,"",IF(INDEX('Прайс и заказ'!K:K,$J554)="","",INDEX('Прайс и заказ'!K:K,$J554)))</f>
      </c>
      <c r="H554" s="62" t="str">
        <f>IF($J554=0,"",IF(INDEX('Прайс и заказ'!L:L,$J554)="","",INDEX('Прайс и заказ'!L:L,$J554)))</f>
      </c>
      <c r="I554" s="13" t="str">
        <f>IF($J554=0,"",IF(INDEX('Прайс и заказ'!M:M,$J554)="","",INDEX('Прайс и заказ'!M:M,$J554)))</f>
      </c>
      <c r="J554" t="str">
        <f>IFERROR(MATCH(546,'Прайс и заказ'!$N$7:$N$781,0)+6,0)</f>
      </c>
    </row>
    <row r="555" spans="1:11" customHeight="1" ht="40">
      <c r="A555" s="13" t="str">
        <f>IF($J555=0,"",IFERROR(_xlfn.IMAGE(INDEX('Прайс и заказ'!$O:$O,$J555)),""))</f>
      </c>
      <c r="B555" s="61" t="str">
        <f>IF($J555=0,"",IF(INDEX('Прайс и заказ'!B:B,$J555)="","",INDEX('Прайс и заказ'!B:B,$J555)))</f>
      </c>
      <c r="C555" s="64" t="str">
        <f>IF($J555=0,"",IF(INDEX('Прайс и заказ'!C:C,$J555)="","",INDEX('Прайс и заказ'!C:C,$J555)))</f>
      </c>
      <c r="D555" s="64" t="str">
        <f>IF($J555=0,"",IF(INDEX('Прайс и заказ'!D:D,$J555)="","",INDEX('Прайс и заказ'!D:D,$J555)))</f>
      </c>
      <c r="E555" s="61" t="str">
        <f>IF($J555=0,"",IF(INDEX('Прайс и заказ'!F:F,$J555)="","",INDEX('Прайс и заказ'!F:F,$J555)))</f>
      </c>
      <c r="F555" s="62" t="str">
        <f>IF($J555=0,"",IF(INDEX('Прайс и заказ'!I:I,$J555)="","",INDEX('Прайс и заказ'!I:I,$J555)))</f>
      </c>
      <c r="G555" s="63" t="str">
        <f>IF($J555=0,"",IF(INDEX('Прайс и заказ'!K:K,$J555)="","",INDEX('Прайс и заказ'!K:K,$J555)))</f>
      </c>
      <c r="H555" s="62" t="str">
        <f>IF($J555=0,"",IF(INDEX('Прайс и заказ'!L:L,$J555)="","",INDEX('Прайс и заказ'!L:L,$J555)))</f>
      </c>
      <c r="I555" s="13" t="str">
        <f>IF($J555=0,"",IF(INDEX('Прайс и заказ'!M:M,$J555)="","",INDEX('Прайс и заказ'!M:M,$J555)))</f>
      </c>
      <c r="J555" t="str">
        <f>IFERROR(MATCH(547,'Прайс и заказ'!$N$7:$N$781,0)+6,0)</f>
      </c>
    </row>
    <row r="556" spans="1:11" customHeight="1" ht="40">
      <c r="A556" s="13" t="str">
        <f>IF($J556=0,"",IFERROR(_xlfn.IMAGE(INDEX('Прайс и заказ'!$O:$O,$J556)),""))</f>
      </c>
      <c r="B556" s="61" t="str">
        <f>IF($J556=0,"",IF(INDEX('Прайс и заказ'!B:B,$J556)="","",INDEX('Прайс и заказ'!B:B,$J556)))</f>
      </c>
      <c r="C556" s="64" t="str">
        <f>IF($J556=0,"",IF(INDEX('Прайс и заказ'!C:C,$J556)="","",INDEX('Прайс и заказ'!C:C,$J556)))</f>
      </c>
      <c r="D556" s="64" t="str">
        <f>IF($J556=0,"",IF(INDEX('Прайс и заказ'!D:D,$J556)="","",INDEX('Прайс и заказ'!D:D,$J556)))</f>
      </c>
      <c r="E556" s="61" t="str">
        <f>IF($J556=0,"",IF(INDEX('Прайс и заказ'!F:F,$J556)="","",INDEX('Прайс и заказ'!F:F,$J556)))</f>
      </c>
      <c r="F556" s="62" t="str">
        <f>IF($J556=0,"",IF(INDEX('Прайс и заказ'!I:I,$J556)="","",INDEX('Прайс и заказ'!I:I,$J556)))</f>
      </c>
      <c r="G556" s="63" t="str">
        <f>IF($J556=0,"",IF(INDEX('Прайс и заказ'!K:K,$J556)="","",INDEX('Прайс и заказ'!K:K,$J556)))</f>
      </c>
      <c r="H556" s="62" t="str">
        <f>IF($J556=0,"",IF(INDEX('Прайс и заказ'!L:L,$J556)="","",INDEX('Прайс и заказ'!L:L,$J556)))</f>
      </c>
      <c r="I556" s="13" t="str">
        <f>IF($J556=0,"",IF(INDEX('Прайс и заказ'!M:M,$J556)="","",INDEX('Прайс и заказ'!M:M,$J556)))</f>
      </c>
      <c r="J556" t="str">
        <f>IFERROR(MATCH(548,'Прайс и заказ'!$N$7:$N$781,0)+6,0)</f>
      </c>
    </row>
    <row r="557" spans="1:11" customHeight="1" ht="40">
      <c r="A557" s="13" t="str">
        <f>IF($J557=0,"",IFERROR(_xlfn.IMAGE(INDEX('Прайс и заказ'!$O:$O,$J557)),""))</f>
      </c>
      <c r="B557" s="61" t="str">
        <f>IF($J557=0,"",IF(INDEX('Прайс и заказ'!B:B,$J557)="","",INDEX('Прайс и заказ'!B:B,$J557)))</f>
      </c>
      <c r="C557" s="64" t="str">
        <f>IF($J557=0,"",IF(INDEX('Прайс и заказ'!C:C,$J557)="","",INDEX('Прайс и заказ'!C:C,$J557)))</f>
      </c>
      <c r="D557" s="64" t="str">
        <f>IF($J557=0,"",IF(INDEX('Прайс и заказ'!D:D,$J557)="","",INDEX('Прайс и заказ'!D:D,$J557)))</f>
      </c>
      <c r="E557" s="61" t="str">
        <f>IF($J557=0,"",IF(INDEX('Прайс и заказ'!F:F,$J557)="","",INDEX('Прайс и заказ'!F:F,$J557)))</f>
      </c>
      <c r="F557" s="62" t="str">
        <f>IF($J557=0,"",IF(INDEX('Прайс и заказ'!I:I,$J557)="","",INDEX('Прайс и заказ'!I:I,$J557)))</f>
      </c>
      <c r="G557" s="63" t="str">
        <f>IF($J557=0,"",IF(INDEX('Прайс и заказ'!K:K,$J557)="","",INDEX('Прайс и заказ'!K:K,$J557)))</f>
      </c>
      <c r="H557" s="62" t="str">
        <f>IF($J557=0,"",IF(INDEX('Прайс и заказ'!L:L,$J557)="","",INDEX('Прайс и заказ'!L:L,$J557)))</f>
      </c>
      <c r="I557" s="13" t="str">
        <f>IF($J557=0,"",IF(INDEX('Прайс и заказ'!M:M,$J557)="","",INDEX('Прайс и заказ'!M:M,$J557)))</f>
      </c>
      <c r="J557" t="str">
        <f>IFERROR(MATCH(549,'Прайс и заказ'!$N$7:$N$781,0)+6,0)</f>
      </c>
    </row>
    <row r="558" spans="1:11" customHeight="1" ht="40">
      <c r="A558" s="13" t="str">
        <f>IF($J558=0,"",IFERROR(_xlfn.IMAGE(INDEX('Прайс и заказ'!$O:$O,$J558)),""))</f>
      </c>
      <c r="B558" s="61" t="str">
        <f>IF($J558=0,"",IF(INDEX('Прайс и заказ'!B:B,$J558)="","",INDEX('Прайс и заказ'!B:B,$J558)))</f>
      </c>
      <c r="C558" s="64" t="str">
        <f>IF($J558=0,"",IF(INDEX('Прайс и заказ'!C:C,$J558)="","",INDEX('Прайс и заказ'!C:C,$J558)))</f>
      </c>
      <c r="D558" s="64" t="str">
        <f>IF($J558=0,"",IF(INDEX('Прайс и заказ'!D:D,$J558)="","",INDEX('Прайс и заказ'!D:D,$J558)))</f>
      </c>
      <c r="E558" s="61" t="str">
        <f>IF($J558=0,"",IF(INDEX('Прайс и заказ'!F:F,$J558)="","",INDEX('Прайс и заказ'!F:F,$J558)))</f>
      </c>
      <c r="F558" s="62" t="str">
        <f>IF($J558=0,"",IF(INDEX('Прайс и заказ'!I:I,$J558)="","",INDEX('Прайс и заказ'!I:I,$J558)))</f>
      </c>
      <c r="G558" s="63" t="str">
        <f>IF($J558=0,"",IF(INDEX('Прайс и заказ'!K:K,$J558)="","",INDEX('Прайс и заказ'!K:K,$J558)))</f>
      </c>
      <c r="H558" s="62" t="str">
        <f>IF($J558=0,"",IF(INDEX('Прайс и заказ'!L:L,$J558)="","",INDEX('Прайс и заказ'!L:L,$J558)))</f>
      </c>
      <c r="I558" s="13" t="str">
        <f>IF($J558=0,"",IF(INDEX('Прайс и заказ'!M:M,$J558)="","",INDEX('Прайс и заказ'!M:M,$J558)))</f>
      </c>
      <c r="J558" t="str">
        <f>IFERROR(MATCH(550,'Прайс и заказ'!$N$7:$N$781,0)+6,0)</f>
      </c>
    </row>
    <row r="559" spans="1:11" customHeight="1" ht="40">
      <c r="A559" s="13" t="str">
        <f>IF($J559=0,"",IFERROR(_xlfn.IMAGE(INDEX('Прайс и заказ'!$O:$O,$J559)),""))</f>
      </c>
      <c r="B559" s="61" t="str">
        <f>IF($J559=0,"",IF(INDEX('Прайс и заказ'!B:B,$J559)="","",INDEX('Прайс и заказ'!B:B,$J559)))</f>
      </c>
      <c r="C559" s="64" t="str">
        <f>IF($J559=0,"",IF(INDEX('Прайс и заказ'!C:C,$J559)="","",INDEX('Прайс и заказ'!C:C,$J559)))</f>
      </c>
      <c r="D559" s="64" t="str">
        <f>IF($J559=0,"",IF(INDEX('Прайс и заказ'!D:D,$J559)="","",INDEX('Прайс и заказ'!D:D,$J559)))</f>
      </c>
      <c r="E559" s="61" t="str">
        <f>IF($J559=0,"",IF(INDEX('Прайс и заказ'!F:F,$J559)="","",INDEX('Прайс и заказ'!F:F,$J559)))</f>
      </c>
      <c r="F559" s="62" t="str">
        <f>IF($J559=0,"",IF(INDEX('Прайс и заказ'!I:I,$J559)="","",INDEX('Прайс и заказ'!I:I,$J559)))</f>
      </c>
      <c r="G559" s="63" t="str">
        <f>IF($J559=0,"",IF(INDEX('Прайс и заказ'!K:K,$J559)="","",INDEX('Прайс и заказ'!K:K,$J559)))</f>
      </c>
      <c r="H559" s="62" t="str">
        <f>IF($J559=0,"",IF(INDEX('Прайс и заказ'!L:L,$J559)="","",INDEX('Прайс и заказ'!L:L,$J559)))</f>
      </c>
      <c r="I559" s="13" t="str">
        <f>IF($J559=0,"",IF(INDEX('Прайс и заказ'!M:M,$J559)="","",INDEX('Прайс и заказ'!M:M,$J559)))</f>
      </c>
      <c r="J559" t="str">
        <f>IFERROR(MATCH(551,'Прайс и заказ'!$N$7:$N$781,0)+6,0)</f>
      </c>
    </row>
    <row r="560" spans="1:11" customHeight="1" ht="40">
      <c r="A560" s="13" t="str">
        <f>IF($J560=0,"",IFERROR(_xlfn.IMAGE(INDEX('Прайс и заказ'!$O:$O,$J560)),""))</f>
      </c>
      <c r="B560" s="61" t="str">
        <f>IF($J560=0,"",IF(INDEX('Прайс и заказ'!B:B,$J560)="","",INDEX('Прайс и заказ'!B:B,$J560)))</f>
      </c>
      <c r="C560" s="64" t="str">
        <f>IF($J560=0,"",IF(INDEX('Прайс и заказ'!C:C,$J560)="","",INDEX('Прайс и заказ'!C:C,$J560)))</f>
      </c>
      <c r="D560" s="64" t="str">
        <f>IF($J560=0,"",IF(INDEX('Прайс и заказ'!D:D,$J560)="","",INDEX('Прайс и заказ'!D:D,$J560)))</f>
      </c>
      <c r="E560" s="61" t="str">
        <f>IF($J560=0,"",IF(INDEX('Прайс и заказ'!F:F,$J560)="","",INDEX('Прайс и заказ'!F:F,$J560)))</f>
      </c>
      <c r="F560" s="62" t="str">
        <f>IF($J560=0,"",IF(INDEX('Прайс и заказ'!I:I,$J560)="","",INDEX('Прайс и заказ'!I:I,$J560)))</f>
      </c>
      <c r="G560" s="63" t="str">
        <f>IF($J560=0,"",IF(INDEX('Прайс и заказ'!K:K,$J560)="","",INDEX('Прайс и заказ'!K:K,$J560)))</f>
      </c>
      <c r="H560" s="62" t="str">
        <f>IF($J560=0,"",IF(INDEX('Прайс и заказ'!L:L,$J560)="","",INDEX('Прайс и заказ'!L:L,$J560)))</f>
      </c>
      <c r="I560" s="13" t="str">
        <f>IF($J560=0,"",IF(INDEX('Прайс и заказ'!M:M,$J560)="","",INDEX('Прайс и заказ'!M:M,$J560)))</f>
      </c>
      <c r="J560" t="str">
        <f>IFERROR(MATCH(552,'Прайс и заказ'!$N$7:$N$781,0)+6,0)</f>
      </c>
    </row>
    <row r="561" spans="1:11" customHeight="1" ht="40">
      <c r="A561" s="13" t="str">
        <f>IF($J561=0,"",IFERROR(_xlfn.IMAGE(INDEX('Прайс и заказ'!$O:$O,$J561)),""))</f>
      </c>
      <c r="B561" s="61" t="str">
        <f>IF($J561=0,"",IF(INDEX('Прайс и заказ'!B:B,$J561)="","",INDEX('Прайс и заказ'!B:B,$J561)))</f>
      </c>
      <c r="C561" s="64" t="str">
        <f>IF($J561=0,"",IF(INDEX('Прайс и заказ'!C:C,$J561)="","",INDEX('Прайс и заказ'!C:C,$J561)))</f>
      </c>
      <c r="D561" s="64" t="str">
        <f>IF($J561=0,"",IF(INDEX('Прайс и заказ'!D:D,$J561)="","",INDEX('Прайс и заказ'!D:D,$J561)))</f>
      </c>
      <c r="E561" s="61" t="str">
        <f>IF($J561=0,"",IF(INDEX('Прайс и заказ'!F:F,$J561)="","",INDEX('Прайс и заказ'!F:F,$J561)))</f>
      </c>
      <c r="F561" s="62" t="str">
        <f>IF($J561=0,"",IF(INDEX('Прайс и заказ'!I:I,$J561)="","",INDEX('Прайс и заказ'!I:I,$J561)))</f>
      </c>
      <c r="G561" s="63" t="str">
        <f>IF($J561=0,"",IF(INDEX('Прайс и заказ'!K:K,$J561)="","",INDEX('Прайс и заказ'!K:K,$J561)))</f>
      </c>
      <c r="H561" s="62" t="str">
        <f>IF($J561=0,"",IF(INDEX('Прайс и заказ'!L:L,$J561)="","",INDEX('Прайс и заказ'!L:L,$J561)))</f>
      </c>
      <c r="I561" s="13" t="str">
        <f>IF($J561=0,"",IF(INDEX('Прайс и заказ'!M:M,$J561)="","",INDEX('Прайс и заказ'!M:M,$J561)))</f>
      </c>
      <c r="J561" t="str">
        <f>IFERROR(MATCH(553,'Прайс и заказ'!$N$7:$N$781,0)+6,0)</f>
      </c>
    </row>
    <row r="562" spans="1:11" customHeight="1" ht="40">
      <c r="A562" s="13" t="str">
        <f>IF($J562=0,"",IFERROR(_xlfn.IMAGE(INDEX('Прайс и заказ'!$O:$O,$J562)),""))</f>
      </c>
      <c r="B562" s="61" t="str">
        <f>IF($J562=0,"",IF(INDEX('Прайс и заказ'!B:B,$J562)="","",INDEX('Прайс и заказ'!B:B,$J562)))</f>
      </c>
      <c r="C562" s="64" t="str">
        <f>IF($J562=0,"",IF(INDEX('Прайс и заказ'!C:C,$J562)="","",INDEX('Прайс и заказ'!C:C,$J562)))</f>
      </c>
      <c r="D562" s="64" t="str">
        <f>IF($J562=0,"",IF(INDEX('Прайс и заказ'!D:D,$J562)="","",INDEX('Прайс и заказ'!D:D,$J562)))</f>
      </c>
      <c r="E562" s="61" t="str">
        <f>IF($J562=0,"",IF(INDEX('Прайс и заказ'!F:F,$J562)="","",INDEX('Прайс и заказ'!F:F,$J562)))</f>
      </c>
      <c r="F562" s="62" t="str">
        <f>IF($J562=0,"",IF(INDEX('Прайс и заказ'!I:I,$J562)="","",INDEX('Прайс и заказ'!I:I,$J562)))</f>
      </c>
      <c r="G562" s="63" t="str">
        <f>IF($J562=0,"",IF(INDEX('Прайс и заказ'!K:K,$J562)="","",INDEX('Прайс и заказ'!K:K,$J562)))</f>
      </c>
      <c r="H562" s="62" t="str">
        <f>IF($J562=0,"",IF(INDEX('Прайс и заказ'!L:L,$J562)="","",INDEX('Прайс и заказ'!L:L,$J562)))</f>
      </c>
      <c r="I562" s="13" t="str">
        <f>IF($J562=0,"",IF(INDEX('Прайс и заказ'!M:M,$J562)="","",INDEX('Прайс и заказ'!M:M,$J562)))</f>
      </c>
      <c r="J562" t="str">
        <f>IFERROR(MATCH(554,'Прайс и заказ'!$N$7:$N$781,0)+6,0)</f>
      </c>
    </row>
    <row r="563" spans="1:11" customHeight="1" ht="40">
      <c r="A563" s="13" t="str">
        <f>IF($J563=0,"",IFERROR(_xlfn.IMAGE(INDEX('Прайс и заказ'!$O:$O,$J563)),""))</f>
      </c>
      <c r="B563" s="61" t="str">
        <f>IF($J563=0,"",IF(INDEX('Прайс и заказ'!B:B,$J563)="","",INDEX('Прайс и заказ'!B:B,$J563)))</f>
      </c>
      <c r="C563" s="64" t="str">
        <f>IF($J563=0,"",IF(INDEX('Прайс и заказ'!C:C,$J563)="","",INDEX('Прайс и заказ'!C:C,$J563)))</f>
      </c>
      <c r="D563" s="64" t="str">
        <f>IF($J563=0,"",IF(INDEX('Прайс и заказ'!D:D,$J563)="","",INDEX('Прайс и заказ'!D:D,$J563)))</f>
      </c>
      <c r="E563" s="61" t="str">
        <f>IF($J563=0,"",IF(INDEX('Прайс и заказ'!F:F,$J563)="","",INDEX('Прайс и заказ'!F:F,$J563)))</f>
      </c>
      <c r="F563" s="62" t="str">
        <f>IF($J563=0,"",IF(INDEX('Прайс и заказ'!I:I,$J563)="","",INDEX('Прайс и заказ'!I:I,$J563)))</f>
      </c>
      <c r="G563" s="63" t="str">
        <f>IF($J563=0,"",IF(INDEX('Прайс и заказ'!K:K,$J563)="","",INDEX('Прайс и заказ'!K:K,$J563)))</f>
      </c>
      <c r="H563" s="62" t="str">
        <f>IF($J563=0,"",IF(INDEX('Прайс и заказ'!L:L,$J563)="","",INDEX('Прайс и заказ'!L:L,$J563)))</f>
      </c>
      <c r="I563" s="13" t="str">
        <f>IF($J563=0,"",IF(INDEX('Прайс и заказ'!M:M,$J563)="","",INDEX('Прайс и заказ'!M:M,$J563)))</f>
      </c>
      <c r="J563" t="str">
        <f>IFERROR(MATCH(555,'Прайс и заказ'!$N$7:$N$781,0)+6,0)</f>
      </c>
    </row>
    <row r="564" spans="1:11" customHeight="1" ht="40">
      <c r="A564" s="13" t="str">
        <f>IF($J564=0,"",IFERROR(_xlfn.IMAGE(INDEX('Прайс и заказ'!$O:$O,$J564)),""))</f>
      </c>
      <c r="B564" s="61" t="str">
        <f>IF($J564=0,"",IF(INDEX('Прайс и заказ'!B:B,$J564)="","",INDEX('Прайс и заказ'!B:B,$J564)))</f>
      </c>
      <c r="C564" s="64" t="str">
        <f>IF($J564=0,"",IF(INDEX('Прайс и заказ'!C:C,$J564)="","",INDEX('Прайс и заказ'!C:C,$J564)))</f>
      </c>
      <c r="D564" s="64" t="str">
        <f>IF($J564=0,"",IF(INDEX('Прайс и заказ'!D:D,$J564)="","",INDEX('Прайс и заказ'!D:D,$J564)))</f>
      </c>
      <c r="E564" s="61" t="str">
        <f>IF($J564=0,"",IF(INDEX('Прайс и заказ'!F:F,$J564)="","",INDEX('Прайс и заказ'!F:F,$J564)))</f>
      </c>
      <c r="F564" s="62" t="str">
        <f>IF($J564=0,"",IF(INDEX('Прайс и заказ'!I:I,$J564)="","",INDEX('Прайс и заказ'!I:I,$J564)))</f>
      </c>
      <c r="G564" s="63" t="str">
        <f>IF($J564=0,"",IF(INDEX('Прайс и заказ'!K:K,$J564)="","",INDEX('Прайс и заказ'!K:K,$J564)))</f>
      </c>
      <c r="H564" s="62" t="str">
        <f>IF($J564=0,"",IF(INDEX('Прайс и заказ'!L:L,$J564)="","",INDEX('Прайс и заказ'!L:L,$J564)))</f>
      </c>
      <c r="I564" s="13" t="str">
        <f>IF($J564=0,"",IF(INDEX('Прайс и заказ'!M:M,$J564)="","",INDEX('Прайс и заказ'!M:M,$J564)))</f>
      </c>
      <c r="J564" t="str">
        <f>IFERROR(MATCH(556,'Прайс и заказ'!$N$7:$N$781,0)+6,0)</f>
      </c>
    </row>
    <row r="565" spans="1:11" customHeight="1" ht="40">
      <c r="A565" s="13" t="str">
        <f>IF($J565=0,"",IFERROR(_xlfn.IMAGE(INDEX('Прайс и заказ'!$O:$O,$J565)),""))</f>
      </c>
      <c r="B565" s="61" t="str">
        <f>IF($J565=0,"",IF(INDEX('Прайс и заказ'!B:B,$J565)="","",INDEX('Прайс и заказ'!B:B,$J565)))</f>
      </c>
      <c r="C565" s="64" t="str">
        <f>IF($J565=0,"",IF(INDEX('Прайс и заказ'!C:C,$J565)="","",INDEX('Прайс и заказ'!C:C,$J565)))</f>
      </c>
      <c r="D565" s="64" t="str">
        <f>IF($J565=0,"",IF(INDEX('Прайс и заказ'!D:D,$J565)="","",INDEX('Прайс и заказ'!D:D,$J565)))</f>
      </c>
      <c r="E565" s="61" t="str">
        <f>IF($J565=0,"",IF(INDEX('Прайс и заказ'!F:F,$J565)="","",INDEX('Прайс и заказ'!F:F,$J565)))</f>
      </c>
      <c r="F565" s="62" t="str">
        <f>IF($J565=0,"",IF(INDEX('Прайс и заказ'!I:I,$J565)="","",INDEX('Прайс и заказ'!I:I,$J565)))</f>
      </c>
      <c r="G565" s="63" t="str">
        <f>IF($J565=0,"",IF(INDEX('Прайс и заказ'!K:K,$J565)="","",INDEX('Прайс и заказ'!K:K,$J565)))</f>
      </c>
      <c r="H565" s="62" t="str">
        <f>IF($J565=0,"",IF(INDEX('Прайс и заказ'!L:L,$J565)="","",INDEX('Прайс и заказ'!L:L,$J565)))</f>
      </c>
      <c r="I565" s="13" t="str">
        <f>IF($J565=0,"",IF(INDEX('Прайс и заказ'!M:M,$J565)="","",INDEX('Прайс и заказ'!M:M,$J565)))</f>
      </c>
      <c r="J565" t="str">
        <f>IFERROR(MATCH(557,'Прайс и заказ'!$N$7:$N$781,0)+6,0)</f>
      </c>
    </row>
    <row r="566" spans="1:11" customHeight="1" ht="40">
      <c r="A566" s="13" t="str">
        <f>IF($J566=0,"",IFERROR(_xlfn.IMAGE(INDEX('Прайс и заказ'!$O:$O,$J566)),""))</f>
      </c>
      <c r="B566" s="61" t="str">
        <f>IF($J566=0,"",IF(INDEX('Прайс и заказ'!B:B,$J566)="","",INDEX('Прайс и заказ'!B:B,$J566)))</f>
      </c>
      <c r="C566" s="64" t="str">
        <f>IF($J566=0,"",IF(INDEX('Прайс и заказ'!C:C,$J566)="","",INDEX('Прайс и заказ'!C:C,$J566)))</f>
      </c>
      <c r="D566" s="64" t="str">
        <f>IF($J566=0,"",IF(INDEX('Прайс и заказ'!D:D,$J566)="","",INDEX('Прайс и заказ'!D:D,$J566)))</f>
      </c>
      <c r="E566" s="61" t="str">
        <f>IF($J566=0,"",IF(INDEX('Прайс и заказ'!F:F,$J566)="","",INDEX('Прайс и заказ'!F:F,$J566)))</f>
      </c>
      <c r="F566" s="62" t="str">
        <f>IF($J566=0,"",IF(INDEX('Прайс и заказ'!I:I,$J566)="","",INDEX('Прайс и заказ'!I:I,$J566)))</f>
      </c>
      <c r="G566" s="63" t="str">
        <f>IF($J566=0,"",IF(INDEX('Прайс и заказ'!K:K,$J566)="","",INDEX('Прайс и заказ'!K:K,$J566)))</f>
      </c>
      <c r="H566" s="62" t="str">
        <f>IF($J566=0,"",IF(INDEX('Прайс и заказ'!L:L,$J566)="","",INDEX('Прайс и заказ'!L:L,$J566)))</f>
      </c>
      <c r="I566" s="13" t="str">
        <f>IF($J566=0,"",IF(INDEX('Прайс и заказ'!M:M,$J566)="","",INDEX('Прайс и заказ'!M:M,$J566)))</f>
      </c>
      <c r="J566" t="str">
        <f>IFERROR(MATCH(558,'Прайс и заказ'!$N$7:$N$781,0)+6,0)</f>
      </c>
    </row>
    <row r="567" spans="1:11" customHeight="1" ht="40">
      <c r="A567" s="13" t="str">
        <f>IF($J567=0,"",IFERROR(_xlfn.IMAGE(INDEX('Прайс и заказ'!$O:$O,$J567)),""))</f>
      </c>
      <c r="B567" s="61" t="str">
        <f>IF($J567=0,"",IF(INDEX('Прайс и заказ'!B:B,$J567)="","",INDEX('Прайс и заказ'!B:B,$J567)))</f>
      </c>
      <c r="C567" s="64" t="str">
        <f>IF($J567=0,"",IF(INDEX('Прайс и заказ'!C:C,$J567)="","",INDEX('Прайс и заказ'!C:C,$J567)))</f>
      </c>
      <c r="D567" s="64" t="str">
        <f>IF($J567=0,"",IF(INDEX('Прайс и заказ'!D:D,$J567)="","",INDEX('Прайс и заказ'!D:D,$J567)))</f>
      </c>
      <c r="E567" s="61" t="str">
        <f>IF($J567=0,"",IF(INDEX('Прайс и заказ'!F:F,$J567)="","",INDEX('Прайс и заказ'!F:F,$J567)))</f>
      </c>
      <c r="F567" s="62" t="str">
        <f>IF($J567=0,"",IF(INDEX('Прайс и заказ'!I:I,$J567)="","",INDEX('Прайс и заказ'!I:I,$J567)))</f>
      </c>
      <c r="G567" s="63" t="str">
        <f>IF($J567=0,"",IF(INDEX('Прайс и заказ'!K:K,$J567)="","",INDEX('Прайс и заказ'!K:K,$J567)))</f>
      </c>
      <c r="H567" s="62" t="str">
        <f>IF($J567=0,"",IF(INDEX('Прайс и заказ'!L:L,$J567)="","",INDEX('Прайс и заказ'!L:L,$J567)))</f>
      </c>
      <c r="I567" s="13" t="str">
        <f>IF($J567=0,"",IF(INDEX('Прайс и заказ'!M:M,$J567)="","",INDEX('Прайс и заказ'!M:M,$J567)))</f>
      </c>
      <c r="J567" t="str">
        <f>IFERROR(MATCH(559,'Прайс и заказ'!$N$7:$N$781,0)+6,0)</f>
      </c>
    </row>
    <row r="568" spans="1:11" customHeight="1" ht="40">
      <c r="A568" s="13" t="str">
        <f>IF($J568=0,"",IFERROR(_xlfn.IMAGE(INDEX('Прайс и заказ'!$O:$O,$J568)),""))</f>
      </c>
      <c r="B568" s="61" t="str">
        <f>IF($J568=0,"",IF(INDEX('Прайс и заказ'!B:B,$J568)="","",INDEX('Прайс и заказ'!B:B,$J568)))</f>
      </c>
      <c r="C568" s="64" t="str">
        <f>IF($J568=0,"",IF(INDEX('Прайс и заказ'!C:C,$J568)="","",INDEX('Прайс и заказ'!C:C,$J568)))</f>
      </c>
      <c r="D568" s="64" t="str">
        <f>IF($J568=0,"",IF(INDEX('Прайс и заказ'!D:D,$J568)="","",INDEX('Прайс и заказ'!D:D,$J568)))</f>
      </c>
      <c r="E568" s="61" t="str">
        <f>IF($J568=0,"",IF(INDEX('Прайс и заказ'!F:F,$J568)="","",INDEX('Прайс и заказ'!F:F,$J568)))</f>
      </c>
      <c r="F568" s="62" t="str">
        <f>IF($J568=0,"",IF(INDEX('Прайс и заказ'!I:I,$J568)="","",INDEX('Прайс и заказ'!I:I,$J568)))</f>
      </c>
      <c r="G568" s="63" t="str">
        <f>IF($J568=0,"",IF(INDEX('Прайс и заказ'!K:K,$J568)="","",INDEX('Прайс и заказ'!K:K,$J568)))</f>
      </c>
      <c r="H568" s="62" t="str">
        <f>IF($J568=0,"",IF(INDEX('Прайс и заказ'!L:L,$J568)="","",INDEX('Прайс и заказ'!L:L,$J568)))</f>
      </c>
      <c r="I568" s="13" t="str">
        <f>IF($J568=0,"",IF(INDEX('Прайс и заказ'!M:M,$J568)="","",INDEX('Прайс и заказ'!M:M,$J568)))</f>
      </c>
      <c r="J568" t="str">
        <f>IFERROR(MATCH(560,'Прайс и заказ'!$N$7:$N$781,0)+6,0)</f>
      </c>
    </row>
    <row r="569" spans="1:11" customHeight="1" ht="40">
      <c r="A569" s="13" t="str">
        <f>IF($J569=0,"",IFERROR(_xlfn.IMAGE(INDEX('Прайс и заказ'!$O:$O,$J569)),""))</f>
      </c>
      <c r="B569" s="61" t="str">
        <f>IF($J569=0,"",IF(INDEX('Прайс и заказ'!B:B,$J569)="","",INDEX('Прайс и заказ'!B:B,$J569)))</f>
      </c>
      <c r="C569" s="64" t="str">
        <f>IF($J569=0,"",IF(INDEX('Прайс и заказ'!C:C,$J569)="","",INDEX('Прайс и заказ'!C:C,$J569)))</f>
      </c>
      <c r="D569" s="64" t="str">
        <f>IF($J569=0,"",IF(INDEX('Прайс и заказ'!D:D,$J569)="","",INDEX('Прайс и заказ'!D:D,$J569)))</f>
      </c>
      <c r="E569" s="61" t="str">
        <f>IF($J569=0,"",IF(INDEX('Прайс и заказ'!F:F,$J569)="","",INDEX('Прайс и заказ'!F:F,$J569)))</f>
      </c>
      <c r="F569" s="62" t="str">
        <f>IF($J569=0,"",IF(INDEX('Прайс и заказ'!I:I,$J569)="","",INDEX('Прайс и заказ'!I:I,$J569)))</f>
      </c>
      <c r="G569" s="63" t="str">
        <f>IF($J569=0,"",IF(INDEX('Прайс и заказ'!K:K,$J569)="","",INDEX('Прайс и заказ'!K:K,$J569)))</f>
      </c>
      <c r="H569" s="62" t="str">
        <f>IF($J569=0,"",IF(INDEX('Прайс и заказ'!L:L,$J569)="","",INDEX('Прайс и заказ'!L:L,$J569)))</f>
      </c>
      <c r="I569" s="13" t="str">
        <f>IF($J569=0,"",IF(INDEX('Прайс и заказ'!M:M,$J569)="","",INDEX('Прайс и заказ'!M:M,$J569)))</f>
      </c>
      <c r="J569" t="str">
        <f>IFERROR(MATCH(561,'Прайс и заказ'!$N$7:$N$781,0)+6,0)</f>
      </c>
    </row>
    <row r="570" spans="1:11" customHeight="1" ht="40">
      <c r="A570" s="13" t="str">
        <f>IF($J570=0,"",IFERROR(_xlfn.IMAGE(INDEX('Прайс и заказ'!$O:$O,$J570)),""))</f>
      </c>
      <c r="B570" s="61" t="str">
        <f>IF($J570=0,"",IF(INDEX('Прайс и заказ'!B:B,$J570)="","",INDEX('Прайс и заказ'!B:B,$J570)))</f>
      </c>
      <c r="C570" s="64" t="str">
        <f>IF($J570=0,"",IF(INDEX('Прайс и заказ'!C:C,$J570)="","",INDEX('Прайс и заказ'!C:C,$J570)))</f>
      </c>
      <c r="D570" s="64" t="str">
        <f>IF($J570=0,"",IF(INDEX('Прайс и заказ'!D:D,$J570)="","",INDEX('Прайс и заказ'!D:D,$J570)))</f>
      </c>
      <c r="E570" s="61" t="str">
        <f>IF($J570=0,"",IF(INDEX('Прайс и заказ'!F:F,$J570)="","",INDEX('Прайс и заказ'!F:F,$J570)))</f>
      </c>
      <c r="F570" s="62" t="str">
        <f>IF($J570=0,"",IF(INDEX('Прайс и заказ'!I:I,$J570)="","",INDEX('Прайс и заказ'!I:I,$J570)))</f>
      </c>
      <c r="G570" s="63" t="str">
        <f>IF($J570=0,"",IF(INDEX('Прайс и заказ'!K:K,$J570)="","",INDEX('Прайс и заказ'!K:K,$J570)))</f>
      </c>
      <c r="H570" s="62" t="str">
        <f>IF($J570=0,"",IF(INDEX('Прайс и заказ'!L:L,$J570)="","",INDEX('Прайс и заказ'!L:L,$J570)))</f>
      </c>
      <c r="I570" s="13" t="str">
        <f>IF($J570=0,"",IF(INDEX('Прайс и заказ'!M:M,$J570)="","",INDEX('Прайс и заказ'!M:M,$J570)))</f>
      </c>
      <c r="J570" t="str">
        <f>IFERROR(MATCH(562,'Прайс и заказ'!$N$7:$N$781,0)+6,0)</f>
      </c>
    </row>
    <row r="571" spans="1:11" customHeight="1" ht="40">
      <c r="A571" s="13" t="str">
        <f>IF($J571=0,"",IFERROR(_xlfn.IMAGE(INDEX('Прайс и заказ'!$O:$O,$J571)),""))</f>
      </c>
      <c r="B571" s="61" t="str">
        <f>IF($J571=0,"",IF(INDEX('Прайс и заказ'!B:B,$J571)="","",INDEX('Прайс и заказ'!B:B,$J571)))</f>
      </c>
      <c r="C571" s="64" t="str">
        <f>IF($J571=0,"",IF(INDEX('Прайс и заказ'!C:C,$J571)="","",INDEX('Прайс и заказ'!C:C,$J571)))</f>
      </c>
      <c r="D571" s="64" t="str">
        <f>IF($J571=0,"",IF(INDEX('Прайс и заказ'!D:D,$J571)="","",INDEX('Прайс и заказ'!D:D,$J571)))</f>
      </c>
      <c r="E571" s="61" t="str">
        <f>IF($J571=0,"",IF(INDEX('Прайс и заказ'!F:F,$J571)="","",INDEX('Прайс и заказ'!F:F,$J571)))</f>
      </c>
      <c r="F571" s="62" t="str">
        <f>IF($J571=0,"",IF(INDEX('Прайс и заказ'!I:I,$J571)="","",INDEX('Прайс и заказ'!I:I,$J571)))</f>
      </c>
      <c r="G571" s="63" t="str">
        <f>IF($J571=0,"",IF(INDEX('Прайс и заказ'!K:K,$J571)="","",INDEX('Прайс и заказ'!K:K,$J571)))</f>
      </c>
      <c r="H571" s="62" t="str">
        <f>IF($J571=0,"",IF(INDEX('Прайс и заказ'!L:L,$J571)="","",INDEX('Прайс и заказ'!L:L,$J571)))</f>
      </c>
      <c r="I571" s="13" t="str">
        <f>IF($J571=0,"",IF(INDEX('Прайс и заказ'!M:M,$J571)="","",INDEX('Прайс и заказ'!M:M,$J571)))</f>
      </c>
      <c r="J571" t="str">
        <f>IFERROR(MATCH(563,'Прайс и заказ'!$N$7:$N$781,0)+6,0)</f>
      </c>
    </row>
    <row r="572" spans="1:11" customHeight="1" ht="40">
      <c r="A572" s="13" t="str">
        <f>IF($J572=0,"",IFERROR(_xlfn.IMAGE(INDEX('Прайс и заказ'!$O:$O,$J572)),""))</f>
      </c>
      <c r="B572" s="61" t="str">
        <f>IF($J572=0,"",IF(INDEX('Прайс и заказ'!B:B,$J572)="","",INDEX('Прайс и заказ'!B:B,$J572)))</f>
      </c>
      <c r="C572" s="64" t="str">
        <f>IF($J572=0,"",IF(INDEX('Прайс и заказ'!C:C,$J572)="","",INDEX('Прайс и заказ'!C:C,$J572)))</f>
      </c>
      <c r="D572" s="64" t="str">
        <f>IF($J572=0,"",IF(INDEX('Прайс и заказ'!D:D,$J572)="","",INDEX('Прайс и заказ'!D:D,$J572)))</f>
      </c>
      <c r="E572" s="61" t="str">
        <f>IF($J572=0,"",IF(INDEX('Прайс и заказ'!F:F,$J572)="","",INDEX('Прайс и заказ'!F:F,$J572)))</f>
      </c>
      <c r="F572" s="62" t="str">
        <f>IF($J572=0,"",IF(INDEX('Прайс и заказ'!I:I,$J572)="","",INDEX('Прайс и заказ'!I:I,$J572)))</f>
      </c>
      <c r="G572" s="63" t="str">
        <f>IF($J572=0,"",IF(INDEX('Прайс и заказ'!K:K,$J572)="","",INDEX('Прайс и заказ'!K:K,$J572)))</f>
      </c>
      <c r="H572" s="62" t="str">
        <f>IF($J572=0,"",IF(INDEX('Прайс и заказ'!L:L,$J572)="","",INDEX('Прайс и заказ'!L:L,$J572)))</f>
      </c>
      <c r="I572" s="13" t="str">
        <f>IF($J572=0,"",IF(INDEX('Прайс и заказ'!M:M,$J572)="","",INDEX('Прайс и заказ'!M:M,$J572)))</f>
      </c>
      <c r="J572" t="str">
        <f>IFERROR(MATCH(564,'Прайс и заказ'!$N$7:$N$781,0)+6,0)</f>
      </c>
    </row>
    <row r="573" spans="1:11" customHeight="1" ht="40">
      <c r="A573" s="13" t="str">
        <f>IF($J573=0,"",IFERROR(_xlfn.IMAGE(INDEX('Прайс и заказ'!$O:$O,$J573)),""))</f>
      </c>
      <c r="B573" s="61" t="str">
        <f>IF($J573=0,"",IF(INDEX('Прайс и заказ'!B:B,$J573)="","",INDEX('Прайс и заказ'!B:B,$J573)))</f>
      </c>
      <c r="C573" s="64" t="str">
        <f>IF($J573=0,"",IF(INDEX('Прайс и заказ'!C:C,$J573)="","",INDEX('Прайс и заказ'!C:C,$J573)))</f>
      </c>
      <c r="D573" s="64" t="str">
        <f>IF($J573=0,"",IF(INDEX('Прайс и заказ'!D:D,$J573)="","",INDEX('Прайс и заказ'!D:D,$J573)))</f>
      </c>
      <c r="E573" s="61" t="str">
        <f>IF($J573=0,"",IF(INDEX('Прайс и заказ'!F:F,$J573)="","",INDEX('Прайс и заказ'!F:F,$J573)))</f>
      </c>
      <c r="F573" s="62" t="str">
        <f>IF($J573=0,"",IF(INDEX('Прайс и заказ'!I:I,$J573)="","",INDEX('Прайс и заказ'!I:I,$J573)))</f>
      </c>
      <c r="G573" s="63" t="str">
        <f>IF($J573=0,"",IF(INDEX('Прайс и заказ'!K:K,$J573)="","",INDEX('Прайс и заказ'!K:K,$J573)))</f>
      </c>
      <c r="H573" s="62" t="str">
        <f>IF($J573=0,"",IF(INDEX('Прайс и заказ'!L:L,$J573)="","",INDEX('Прайс и заказ'!L:L,$J573)))</f>
      </c>
      <c r="I573" s="13" t="str">
        <f>IF($J573=0,"",IF(INDEX('Прайс и заказ'!M:M,$J573)="","",INDEX('Прайс и заказ'!M:M,$J573)))</f>
      </c>
      <c r="J573" t="str">
        <f>IFERROR(MATCH(565,'Прайс и заказ'!$N$7:$N$781,0)+6,0)</f>
      </c>
    </row>
    <row r="574" spans="1:11" customHeight="1" ht="40">
      <c r="A574" s="13" t="str">
        <f>IF($J574=0,"",IFERROR(_xlfn.IMAGE(INDEX('Прайс и заказ'!$O:$O,$J574)),""))</f>
      </c>
      <c r="B574" s="61" t="str">
        <f>IF($J574=0,"",IF(INDEX('Прайс и заказ'!B:B,$J574)="","",INDEX('Прайс и заказ'!B:B,$J574)))</f>
      </c>
      <c r="C574" s="64" t="str">
        <f>IF($J574=0,"",IF(INDEX('Прайс и заказ'!C:C,$J574)="","",INDEX('Прайс и заказ'!C:C,$J574)))</f>
      </c>
      <c r="D574" s="64" t="str">
        <f>IF($J574=0,"",IF(INDEX('Прайс и заказ'!D:D,$J574)="","",INDEX('Прайс и заказ'!D:D,$J574)))</f>
      </c>
      <c r="E574" s="61" t="str">
        <f>IF($J574=0,"",IF(INDEX('Прайс и заказ'!F:F,$J574)="","",INDEX('Прайс и заказ'!F:F,$J574)))</f>
      </c>
      <c r="F574" s="62" t="str">
        <f>IF($J574=0,"",IF(INDEX('Прайс и заказ'!I:I,$J574)="","",INDEX('Прайс и заказ'!I:I,$J574)))</f>
      </c>
      <c r="G574" s="63" t="str">
        <f>IF($J574=0,"",IF(INDEX('Прайс и заказ'!K:K,$J574)="","",INDEX('Прайс и заказ'!K:K,$J574)))</f>
      </c>
      <c r="H574" s="62" t="str">
        <f>IF($J574=0,"",IF(INDEX('Прайс и заказ'!L:L,$J574)="","",INDEX('Прайс и заказ'!L:L,$J574)))</f>
      </c>
      <c r="I574" s="13" t="str">
        <f>IF($J574=0,"",IF(INDEX('Прайс и заказ'!M:M,$J574)="","",INDEX('Прайс и заказ'!M:M,$J574)))</f>
      </c>
      <c r="J574" t="str">
        <f>IFERROR(MATCH(566,'Прайс и заказ'!$N$7:$N$781,0)+6,0)</f>
      </c>
    </row>
    <row r="575" spans="1:11" customHeight="1" ht="40">
      <c r="A575" s="13" t="str">
        <f>IF($J575=0,"",IFERROR(_xlfn.IMAGE(INDEX('Прайс и заказ'!$O:$O,$J575)),""))</f>
      </c>
      <c r="B575" s="61" t="str">
        <f>IF($J575=0,"",IF(INDEX('Прайс и заказ'!B:B,$J575)="","",INDEX('Прайс и заказ'!B:B,$J575)))</f>
      </c>
      <c r="C575" s="64" t="str">
        <f>IF($J575=0,"",IF(INDEX('Прайс и заказ'!C:C,$J575)="","",INDEX('Прайс и заказ'!C:C,$J575)))</f>
      </c>
      <c r="D575" s="64" t="str">
        <f>IF($J575=0,"",IF(INDEX('Прайс и заказ'!D:D,$J575)="","",INDEX('Прайс и заказ'!D:D,$J575)))</f>
      </c>
      <c r="E575" s="61" t="str">
        <f>IF($J575=0,"",IF(INDEX('Прайс и заказ'!F:F,$J575)="","",INDEX('Прайс и заказ'!F:F,$J575)))</f>
      </c>
      <c r="F575" s="62" t="str">
        <f>IF($J575=0,"",IF(INDEX('Прайс и заказ'!I:I,$J575)="","",INDEX('Прайс и заказ'!I:I,$J575)))</f>
      </c>
      <c r="G575" s="63" t="str">
        <f>IF($J575=0,"",IF(INDEX('Прайс и заказ'!K:K,$J575)="","",INDEX('Прайс и заказ'!K:K,$J575)))</f>
      </c>
      <c r="H575" s="62" t="str">
        <f>IF($J575=0,"",IF(INDEX('Прайс и заказ'!L:L,$J575)="","",INDEX('Прайс и заказ'!L:L,$J575)))</f>
      </c>
      <c r="I575" s="13" t="str">
        <f>IF($J575=0,"",IF(INDEX('Прайс и заказ'!M:M,$J575)="","",INDEX('Прайс и заказ'!M:M,$J575)))</f>
      </c>
      <c r="J575" t="str">
        <f>IFERROR(MATCH(567,'Прайс и заказ'!$N$7:$N$781,0)+6,0)</f>
      </c>
    </row>
    <row r="576" spans="1:11" customHeight="1" ht="40">
      <c r="A576" s="13" t="str">
        <f>IF($J576=0,"",IFERROR(_xlfn.IMAGE(INDEX('Прайс и заказ'!$O:$O,$J576)),""))</f>
      </c>
      <c r="B576" s="61" t="str">
        <f>IF($J576=0,"",IF(INDEX('Прайс и заказ'!B:B,$J576)="","",INDEX('Прайс и заказ'!B:B,$J576)))</f>
      </c>
      <c r="C576" s="64" t="str">
        <f>IF($J576=0,"",IF(INDEX('Прайс и заказ'!C:C,$J576)="","",INDEX('Прайс и заказ'!C:C,$J576)))</f>
      </c>
      <c r="D576" s="64" t="str">
        <f>IF($J576=0,"",IF(INDEX('Прайс и заказ'!D:D,$J576)="","",INDEX('Прайс и заказ'!D:D,$J576)))</f>
      </c>
      <c r="E576" s="61" t="str">
        <f>IF($J576=0,"",IF(INDEX('Прайс и заказ'!F:F,$J576)="","",INDEX('Прайс и заказ'!F:F,$J576)))</f>
      </c>
      <c r="F576" s="62" t="str">
        <f>IF($J576=0,"",IF(INDEX('Прайс и заказ'!I:I,$J576)="","",INDEX('Прайс и заказ'!I:I,$J576)))</f>
      </c>
      <c r="G576" s="63" t="str">
        <f>IF($J576=0,"",IF(INDEX('Прайс и заказ'!K:K,$J576)="","",INDEX('Прайс и заказ'!K:K,$J576)))</f>
      </c>
      <c r="H576" s="62" t="str">
        <f>IF($J576=0,"",IF(INDEX('Прайс и заказ'!L:L,$J576)="","",INDEX('Прайс и заказ'!L:L,$J576)))</f>
      </c>
      <c r="I576" s="13" t="str">
        <f>IF($J576=0,"",IF(INDEX('Прайс и заказ'!M:M,$J576)="","",INDEX('Прайс и заказ'!M:M,$J576)))</f>
      </c>
      <c r="J576" t="str">
        <f>IFERROR(MATCH(568,'Прайс и заказ'!$N$7:$N$781,0)+6,0)</f>
      </c>
    </row>
    <row r="577" spans="1:11" customHeight="1" ht="40">
      <c r="A577" s="13" t="str">
        <f>IF($J577=0,"",IFERROR(_xlfn.IMAGE(INDEX('Прайс и заказ'!$O:$O,$J577)),""))</f>
      </c>
      <c r="B577" s="61" t="str">
        <f>IF($J577=0,"",IF(INDEX('Прайс и заказ'!B:B,$J577)="","",INDEX('Прайс и заказ'!B:B,$J577)))</f>
      </c>
      <c r="C577" s="64" t="str">
        <f>IF($J577=0,"",IF(INDEX('Прайс и заказ'!C:C,$J577)="","",INDEX('Прайс и заказ'!C:C,$J577)))</f>
      </c>
      <c r="D577" s="64" t="str">
        <f>IF($J577=0,"",IF(INDEX('Прайс и заказ'!D:D,$J577)="","",INDEX('Прайс и заказ'!D:D,$J577)))</f>
      </c>
      <c r="E577" s="61" t="str">
        <f>IF($J577=0,"",IF(INDEX('Прайс и заказ'!F:F,$J577)="","",INDEX('Прайс и заказ'!F:F,$J577)))</f>
      </c>
      <c r="F577" s="62" t="str">
        <f>IF($J577=0,"",IF(INDEX('Прайс и заказ'!I:I,$J577)="","",INDEX('Прайс и заказ'!I:I,$J577)))</f>
      </c>
      <c r="G577" s="63" t="str">
        <f>IF($J577=0,"",IF(INDEX('Прайс и заказ'!K:K,$J577)="","",INDEX('Прайс и заказ'!K:K,$J577)))</f>
      </c>
      <c r="H577" s="62" t="str">
        <f>IF($J577=0,"",IF(INDEX('Прайс и заказ'!L:L,$J577)="","",INDEX('Прайс и заказ'!L:L,$J577)))</f>
      </c>
      <c r="I577" s="13" t="str">
        <f>IF($J577=0,"",IF(INDEX('Прайс и заказ'!M:M,$J577)="","",INDEX('Прайс и заказ'!M:M,$J577)))</f>
      </c>
      <c r="J577" t="str">
        <f>IFERROR(MATCH(569,'Прайс и заказ'!$N$7:$N$781,0)+6,0)</f>
      </c>
    </row>
    <row r="578" spans="1:11" customHeight="1" ht="40">
      <c r="A578" s="13" t="str">
        <f>IF($J578=0,"",IFERROR(_xlfn.IMAGE(INDEX('Прайс и заказ'!$O:$O,$J578)),""))</f>
      </c>
      <c r="B578" s="61" t="str">
        <f>IF($J578=0,"",IF(INDEX('Прайс и заказ'!B:B,$J578)="","",INDEX('Прайс и заказ'!B:B,$J578)))</f>
      </c>
      <c r="C578" s="64" t="str">
        <f>IF($J578=0,"",IF(INDEX('Прайс и заказ'!C:C,$J578)="","",INDEX('Прайс и заказ'!C:C,$J578)))</f>
      </c>
      <c r="D578" s="64" t="str">
        <f>IF($J578=0,"",IF(INDEX('Прайс и заказ'!D:D,$J578)="","",INDEX('Прайс и заказ'!D:D,$J578)))</f>
      </c>
      <c r="E578" s="61" t="str">
        <f>IF($J578=0,"",IF(INDEX('Прайс и заказ'!F:F,$J578)="","",INDEX('Прайс и заказ'!F:F,$J578)))</f>
      </c>
      <c r="F578" s="62" t="str">
        <f>IF($J578=0,"",IF(INDEX('Прайс и заказ'!I:I,$J578)="","",INDEX('Прайс и заказ'!I:I,$J578)))</f>
      </c>
      <c r="G578" s="63" t="str">
        <f>IF($J578=0,"",IF(INDEX('Прайс и заказ'!K:K,$J578)="","",INDEX('Прайс и заказ'!K:K,$J578)))</f>
      </c>
      <c r="H578" s="62" t="str">
        <f>IF($J578=0,"",IF(INDEX('Прайс и заказ'!L:L,$J578)="","",INDEX('Прайс и заказ'!L:L,$J578)))</f>
      </c>
      <c r="I578" s="13" t="str">
        <f>IF($J578=0,"",IF(INDEX('Прайс и заказ'!M:M,$J578)="","",INDEX('Прайс и заказ'!M:M,$J578)))</f>
      </c>
      <c r="J578" t="str">
        <f>IFERROR(MATCH(570,'Прайс и заказ'!$N$7:$N$781,0)+6,0)</f>
      </c>
    </row>
    <row r="579" spans="1:11" customHeight="1" ht="40">
      <c r="A579" s="13" t="str">
        <f>IF($J579=0,"",IFERROR(_xlfn.IMAGE(INDEX('Прайс и заказ'!$O:$O,$J579)),""))</f>
      </c>
      <c r="B579" s="61" t="str">
        <f>IF($J579=0,"",IF(INDEX('Прайс и заказ'!B:B,$J579)="","",INDEX('Прайс и заказ'!B:B,$J579)))</f>
      </c>
      <c r="C579" s="64" t="str">
        <f>IF($J579=0,"",IF(INDEX('Прайс и заказ'!C:C,$J579)="","",INDEX('Прайс и заказ'!C:C,$J579)))</f>
      </c>
      <c r="D579" s="64" t="str">
        <f>IF($J579=0,"",IF(INDEX('Прайс и заказ'!D:D,$J579)="","",INDEX('Прайс и заказ'!D:D,$J579)))</f>
      </c>
      <c r="E579" s="61" t="str">
        <f>IF($J579=0,"",IF(INDEX('Прайс и заказ'!F:F,$J579)="","",INDEX('Прайс и заказ'!F:F,$J579)))</f>
      </c>
      <c r="F579" s="62" t="str">
        <f>IF($J579=0,"",IF(INDEX('Прайс и заказ'!I:I,$J579)="","",INDEX('Прайс и заказ'!I:I,$J579)))</f>
      </c>
      <c r="G579" s="63" t="str">
        <f>IF($J579=0,"",IF(INDEX('Прайс и заказ'!K:K,$J579)="","",INDEX('Прайс и заказ'!K:K,$J579)))</f>
      </c>
      <c r="H579" s="62" t="str">
        <f>IF($J579=0,"",IF(INDEX('Прайс и заказ'!L:L,$J579)="","",INDEX('Прайс и заказ'!L:L,$J579)))</f>
      </c>
      <c r="I579" s="13" t="str">
        <f>IF($J579=0,"",IF(INDEX('Прайс и заказ'!M:M,$J579)="","",INDEX('Прайс и заказ'!M:M,$J579)))</f>
      </c>
      <c r="J579" t="str">
        <f>IFERROR(MATCH(571,'Прайс и заказ'!$N$7:$N$781,0)+6,0)</f>
      </c>
    </row>
    <row r="580" spans="1:11" customHeight="1" ht="40">
      <c r="A580" s="13" t="str">
        <f>IF($J580=0,"",IFERROR(_xlfn.IMAGE(INDEX('Прайс и заказ'!$O:$O,$J580)),""))</f>
      </c>
      <c r="B580" s="61" t="str">
        <f>IF($J580=0,"",IF(INDEX('Прайс и заказ'!B:B,$J580)="","",INDEX('Прайс и заказ'!B:B,$J580)))</f>
      </c>
      <c r="C580" s="64" t="str">
        <f>IF($J580=0,"",IF(INDEX('Прайс и заказ'!C:C,$J580)="","",INDEX('Прайс и заказ'!C:C,$J580)))</f>
      </c>
      <c r="D580" s="64" t="str">
        <f>IF($J580=0,"",IF(INDEX('Прайс и заказ'!D:D,$J580)="","",INDEX('Прайс и заказ'!D:D,$J580)))</f>
      </c>
      <c r="E580" s="61" t="str">
        <f>IF($J580=0,"",IF(INDEX('Прайс и заказ'!F:F,$J580)="","",INDEX('Прайс и заказ'!F:F,$J580)))</f>
      </c>
      <c r="F580" s="62" t="str">
        <f>IF($J580=0,"",IF(INDEX('Прайс и заказ'!I:I,$J580)="","",INDEX('Прайс и заказ'!I:I,$J580)))</f>
      </c>
      <c r="G580" s="63" t="str">
        <f>IF($J580=0,"",IF(INDEX('Прайс и заказ'!K:K,$J580)="","",INDEX('Прайс и заказ'!K:K,$J580)))</f>
      </c>
      <c r="H580" s="62" t="str">
        <f>IF($J580=0,"",IF(INDEX('Прайс и заказ'!L:L,$J580)="","",INDEX('Прайс и заказ'!L:L,$J580)))</f>
      </c>
      <c r="I580" s="13" t="str">
        <f>IF($J580=0,"",IF(INDEX('Прайс и заказ'!M:M,$J580)="","",INDEX('Прайс и заказ'!M:M,$J580)))</f>
      </c>
      <c r="J580" t="str">
        <f>IFERROR(MATCH(572,'Прайс и заказ'!$N$7:$N$781,0)+6,0)</f>
      </c>
    </row>
    <row r="581" spans="1:11" customHeight="1" ht="40">
      <c r="A581" s="13" t="str">
        <f>IF($J581=0,"",IFERROR(_xlfn.IMAGE(INDEX('Прайс и заказ'!$O:$O,$J581)),""))</f>
      </c>
      <c r="B581" s="61" t="str">
        <f>IF($J581=0,"",IF(INDEX('Прайс и заказ'!B:B,$J581)="","",INDEX('Прайс и заказ'!B:B,$J581)))</f>
      </c>
      <c r="C581" s="64" t="str">
        <f>IF($J581=0,"",IF(INDEX('Прайс и заказ'!C:C,$J581)="","",INDEX('Прайс и заказ'!C:C,$J581)))</f>
      </c>
      <c r="D581" s="64" t="str">
        <f>IF($J581=0,"",IF(INDEX('Прайс и заказ'!D:D,$J581)="","",INDEX('Прайс и заказ'!D:D,$J581)))</f>
      </c>
      <c r="E581" s="61" t="str">
        <f>IF($J581=0,"",IF(INDEX('Прайс и заказ'!F:F,$J581)="","",INDEX('Прайс и заказ'!F:F,$J581)))</f>
      </c>
      <c r="F581" s="62" t="str">
        <f>IF($J581=0,"",IF(INDEX('Прайс и заказ'!I:I,$J581)="","",INDEX('Прайс и заказ'!I:I,$J581)))</f>
      </c>
      <c r="G581" s="63" t="str">
        <f>IF($J581=0,"",IF(INDEX('Прайс и заказ'!K:K,$J581)="","",INDEX('Прайс и заказ'!K:K,$J581)))</f>
      </c>
      <c r="H581" s="62" t="str">
        <f>IF($J581=0,"",IF(INDEX('Прайс и заказ'!L:L,$J581)="","",INDEX('Прайс и заказ'!L:L,$J581)))</f>
      </c>
      <c r="I581" s="13" t="str">
        <f>IF($J581=0,"",IF(INDEX('Прайс и заказ'!M:M,$J581)="","",INDEX('Прайс и заказ'!M:M,$J581)))</f>
      </c>
      <c r="J581" t="str">
        <f>IFERROR(MATCH(573,'Прайс и заказ'!$N$7:$N$781,0)+6,0)</f>
      </c>
    </row>
    <row r="582" spans="1:11" customHeight="1" ht="40">
      <c r="A582" s="13" t="str">
        <f>IF($J582=0,"",IFERROR(_xlfn.IMAGE(INDEX('Прайс и заказ'!$O:$O,$J582)),""))</f>
      </c>
      <c r="B582" s="61" t="str">
        <f>IF($J582=0,"",IF(INDEX('Прайс и заказ'!B:B,$J582)="","",INDEX('Прайс и заказ'!B:B,$J582)))</f>
      </c>
      <c r="C582" s="64" t="str">
        <f>IF($J582=0,"",IF(INDEX('Прайс и заказ'!C:C,$J582)="","",INDEX('Прайс и заказ'!C:C,$J582)))</f>
      </c>
      <c r="D582" s="64" t="str">
        <f>IF($J582=0,"",IF(INDEX('Прайс и заказ'!D:D,$J582)="","",INDEX('Прайс и заказ'!D:D,$J582)))</f>
      </c>
      <c r="E582" s="61" t="str">
        <f>IF($J582=0,"",IF(INDEX('Прайс и заказ'!F:F,$J582)="","",INDEX('Прайс и заказ'!F:F,$J582)))</f>
      </c>
      <c r="F582" s="62" t="str">
        <f>IF($J582=0,"",IF(INDEX('Прайс и заказ'!I:I,$J582)="","",INDEX('Прайс и заказ'!I:I,$J582)))</f>
      </c>
      <c r="G582" s="63" t="str">
        <f>IF($J582=0,"",IF(INDEX('Прайс и заказ'!K:K,$J582)="","",INDEX('Прайс и заказ'!K:K,$J582)))</f>
      </c>
      <c r="H582" s="62" t="str">
        <f>IF($J582=0,"",IF(INDEX('Прайс и заказ'!L:L,$J582)="","",INDEX('Прайс и заказ'!L:L,$J582)))</f>
      </c>
      <c r="I582" s="13" t="str">
        <f>IF($J582=0,"",IF(INDEX('Прайс и заказ'!M:M,$J582)="","",INDEX('Прайс и заказ'!M:M,$J582)))</f>
      </c>
      <c r="J582" t="str">
        <f>IFERROR(MATCH(574,'Прайс и заказ'!$N$7:$N$781,0)+6,0)</f>
      </c>
    </row>
    <row r="583" spans="1:11" customHeight="1" ht="40">
      <c r="A583" s="13" t="str">
        <f>IF($J583=0,"",IFERROR(_xlfn.IMAGE(INDEX('Прайс и заказ'!$O:$O,$J583)),""))</f>
      </c>
      <c r="B583" s="61" t="str">
        <f>IF($J583=0,"",IF(INDEX('Прайс и заказ'!B:B,$J583)="","",INDEX('Прайс и заказ'!B:B,$J583)))</f>
      </c>
      <c r="C583" s="64" t="str">
        <f>IF($J583=0,"",IF(INDEX('Прайс и заказ'!C:C,$J583)="","",INDEX('Прайс и заказ'!C:C,$J583)))</f>
      </c>
      <c r="D583" s="64" t="str">
        <f>IF($J583=0,"",IF(INDEX('Прайс и заказ'!D:D,$J583)="","",INDEX('Прайс и заказ'!D:D,$J583)))</f>
      </c>
      <c r="E583" s="61" t="str">
        <f>IF($J583=0,"",IF(INDEX('Прайс и заказ'!F:F,$J583)="","",INDEX('Прайс и заказ'!F:F,$J583)))</f>
      </c>
      <c r="F583" s="62" t="str">
        <f>IF($J583=0,"",IF(INDEX('Прайс и заказ'!I:I,$J583)="","",INDEX('Прайс и заказ'!I:I,$J583)))</f>
      </c>
      <c r="G583" s="63" t="str">
        <f>IF($J583=0,"",IF(INDEX('Прайс и заказ'!K:K,$J583)="","",INDEX('Прайс и заказ'!K:K,$J583)))</f>
      </c>
      <c r="H583" s="62" t="str">
        <f>IF($J583=0,"",IF(INDEX('Прайс и заказ'!L:L,$J583)="","",INDEX('Прайс и заказ'!L:L,$J583)))</f>
      </c>
      <c r="I583" s="13" t="str">
        <f>IF($J583=0,"",IF(INDEX('Прайс и заказ'!M:M,$J583)="","",INDEX('Прайс и заказ'!M:M,$J583)))</f>
      </c>
      <c r="J583" t="str">
        <f>IFERROR(MATCH(575,'Прайс и заказ'!$N$7:$N$781,0)+6,0)</f>
      </c>
    </row>
    <row r="584" spans="1:11" customHeight="1" ht="40">
      <c r="A584" s="13" t="str">
        <f>IF($J584=0,"",IFERROR(_xlfn.IMAGE(INDEX('Прайс и заказ'!$O:$O,$J584)),""))</f>
      </c>
      <c r="B584" s="61" t="str">
        <f>IF($J584=0,"",IF(INDEX('Прайс и заказ'!B:B,$J584)="","",INDEX('Прайс и заказ'!B:B,$J584)))</f>
      </c>
      <c r="C584" s="64" t="str">
        <f>IF($J584=0,"",IF(INDEX('Прайс и заказ'!C:C,$J584)="","",INDEX('Прайс и заказ'!C:C,$J584)))</f>
      </c>
      <c r="D584" s="64" t="str">
        <f>IF($J584=0,"",IF(INDEX('Прайс и заказ'!D:D,$J584)="","",INDEX('Прайс и заказ'!D:D,$J584)))</f>
      </c>
      <c r="E584" s="61" t="str">
        <f>IF($J584=0,"",IF(INDEX('Прайс и заказ'!F:F,$J584)="","",INDEX('Прайс и заказ'!F:F,$J584)))</f>
      </c>
      <c r="F584" s="62" t="str">
        <f>IF($J584=0,"",IF(INDEX('Прайс и заказ'!I:I,$J584)="","",INDEX('Прайс и заказ'!I:I,$J584)))</f>
      </c>
      <c r="G584" s="63" t="str">
        <f>IF($J584=0,"",IF(INDEX('Прайс и заказ'!K:K,$J584)="","",INDEX('Прайс и заказ'!K:K,$J584)))</f>
      </c>
      <c r="H584" s="62" t="str">
        <f>IF($J584=0,"",IF(INDEX('Прайс и заказ'!L:L,$J584)="","",INDEX('Прайс и заказ'!L:L,$J584)))</f>
      </c>
      <c r="I584" s="13" t="str">
        <f>IF($J584=0,"",IF(INDEX('Прайс и заказ'!M:M,$J584)="","",INDEX('Прайс и заказ'!M:M,$J584)))</f>
      </c>
      <c r="J584" t="str">
        <f>IFERROR(MATCH(576,'Прайс и заказ'!$N$7:$N$781,0)+6,0)</f>
      </c>
    </row>
    <row r="585" spans="1:11" customHeight="1" ht="40">
      <c r="A585" s="13" t="str">
        <f>IF($J585=0,"",IFERROR(_xlfn.IMAGE(INDEX('Прайс и заказ'!$O:$O,$J585)),""))</f>
      </c>
      <c r="B585" s="61" t="str">
        <f>IF($J585=0,"",IF(INDEX('Прайс и заказ'!B:B,$J585)="","",INDEX('Прайс и заказ'!B:B,$J585)))</f>
      </c>
      <c r="C585" s="64" t="str">
        <f>IF($J585=0,"",IF(INDEX('Прайс и заказ'!C:C,$J585)="","",INDEX('Прайс и заказ'!C:C,$J585)))</f>
      </c>
      <c r="D585" s="64" t="str">
        <f>IF($J585=0,"",IF(INDEX('Прайс и заказ'!D:D,$J585)="","",INDEX('Прайс и заказ'!D:D,$J585)))</f>
      </c>
      <c r="E585" s="61" t="str">
        <f>IF($J585=0,"",IF(INDEX('Прайс и заказ'!F:F,$J585)="","",INDEX('Прайс и заказ'!F:F,$J585)))</f>
      </c>
      <c r="F585" s="62" t="str">
        <f>IF($J585=0,"",IF(INDEX('Прайс и заказ'!I:I,$J585)="","",INDEX('Прайс и заказ'!I:I,$J585)))</f>
      </c>
      <c r="G585" s="63" t="str">
        <f>IF($J585=0,"",IF(INDEX('Прайс и заказ'!K:K,$J585)="","",INDEX('Прайс и заказ'!K:K,$J585)))</f>
      </c>
      <c r="H585" s="62" t="str">
        <f>IF($J585=0,"",IF(INDEX('Прайс и заказ'!L:L,$J585)="","",INDEX('Прайс и заказ'!L:L,$J585)))</f>
      </c>
      <c r="I585" s="13" t="str">
        <f>IF($J585=0,"",IF(INDEX('Прайс и заказ'!M:M,$J585)="","",INDEX('Прайс и заказ'!M:M,$J585)))</f>
      </c>
      <c r="J585" t="str">
        <f>IFERROR(MATCH(577,'Прайс и заказ'!$N$7:$N$781,0)+6,0)</f>
      </c>
    </row>
    <row r="586" spans="1:11" customHeight="1" ht="40">
      <c r="A586" s="13" t="str">
        <f>IF($J586=0,"",IFERROR(_xlfn.IMAGE(INDEX('Прайс и заказ'!$O:$O,$J586)),""))</f>
      </c>
      <c r="B586" s="61" t="str">
        <f>IF($J586=0,"",IF(INDEX('Прайс и заказ'!B:B,$J586)="","",INDEX('Прайс и заказ'!B:B,$J586)))</f>
      </c>
      <c r="C586" s="64" t="str">
        <f>IF($J586=0,"",IF(INDEX('Прайс и заказ'!C:C,$J586)="","",INDEX('Прайс и заказ'!C:C,$J586)))</f>
      </c>
      <c r="D586" s="64" t="str">
        <f>IF($J586=0,"",IF(INDEX('Прайс и заказ'!D:D,$J586)="","",INDEX('Прайс и заказ'!D:D,$J586)))</f>
      </c>
      <c r="E586" s="61" t="str">
        <f>IF($J586=0,"",IF(INDEX('Прайс и заказ'!F:F,$J586)="","",INDEX('Прайс и заказ'!F:F,$J586)))</f>
      </c>
      <c r="F586" s="62" t="str">
        <f>IF($J586=0,"",IF(INDEX('Прайс и заказ'!I:I,$J586)="","",INDEX('Прайс и заказ'!I:I,$J586)))</f>
      </c>
      <c r="G586" s="63" t="str">
        <f>IF($J586=0,"",IF(INDEX('Прайс и заказ'!K:K,$J586)="","",INDEX('Прайс и заказ'!K:K,$J586)))</f>
      </c>
      <c r="H586" s="62" t="str">
        <f>IF($J586=0,"",IF(INDEX('Прайс и заказ'!L:L,$J586)="","",INDEX('Прайс и заказ'!L:L,$J586)))</f>
      </c>
      <c r="I586" s="13" t="str">
        <f>IF($J586=0,"",IF(INDEX('Прайс и заказ'!M:M,$J586)="","",INDEX('Прайс и заказ'!M:M,$J586)))</f>
      </c>
      <c r="J586" t="str">
        <f>IFERROR(MATCH(578,'Прайс и заказ'!$N$7:$N$781,0)+6,0)</f>
      </c>
    </row>
    <row r="587" spans="1:11" customHeight="1" ht="40">
      <c r="A587" s="13" t="str">
        <f>IF($J587=0,"",IFERROR(_xlfn.IMAGE(INDEX('Прайс и заказ'!$O:$O,$J587)),""))</f>
      </c>
      <c r="B587" s="61" t="str">
        <f>IF($J587=0,"",IF(INDEX('Прайс и заказ'!B:B,$J587)="","",INDEX('Прайс и заказ'!B:B,$J587)))</f>
      </c>
      <c r="C587" s="64" t="str">
        <f>IF($J587=0,"",IF(INDEX('Прайс и заказ'!C:C,$J587)="","",INDEX('Прайс и заказ'!C:C,$J587)))</f>
      </c>
      <c r="D587" s="64" t="str">
        <f>IF($J587=0,"",IF(INDEX('Прайс и заказ'!D:D,$J587)="","",INDEX('Прайс и заказ'!D:D,$J587)))</f>
      </c>
      <c r="E587" s="61" t="str">
        <f>IF($J587=0,"",IF(INDEX('Прайс и заказ'!F:F,$J587)="","",INDEX('Прайс и заказ'!F:F,$J587)))</f>
      </c>
      <c r="F587" s="62" t="str">
        <f>IF($J587=0,"",IF(INDEX('Прайс и заказ'!I:I,$J587)="","",INDEX('Прайс и заказ'!I:I,$J587)))</f>
      </c>
      <c r="G587" s="63" t="str">
        <f>IF($J587=0,"",IF(INDEX('Прайс и заказ'!K:K,$J587)="","",INDEX('Прайс и заказ'!K:K,$J587)))</f>
      </c>
      <c r="H587" s="62" t="str">
        <f>IF($J587=0,"",IF(INDEX('Прайс и заказ'!L:L,$J587)="","",INDEX('Прайс и заказ'!L:L,$J587)))</f>
      </c>
      <c r="I587" s="13" t="str">
        <f>IF($J587=0,"",IF(INDEX('Прайс и заказ'!M:M,$J587)="","",INDEX('Прайс и заказ'!M:M,$J587)))</f>
      </c>
      <c r="J587" t="str">
        <f>IFERROR(MATCH(579,'Прайс и заказ'!$N$7:$N$781,0)+6,0)</f>
      </c>
    </row>
    <row r="588" spans="1:11" customHeight="1" ht="40">
      <c r="A588" s="13" t="str">
        <f>IF($J588=0,"",IFERROR(_xlfn.IMAGE(INDEX('Прайс и заказ'!$O:$O,$J588)),""))</f>
      </c>
      <c r="B588" s="61" t="str">
        <f>IF($J588=0,"",IF(INDEX('Прайс и заказ'!B:B,$J588)="","",INDEX('Прайс и заказ'!B:B,$J588)))</f>
      </c>
      <c r="C588" s="64" t="str">
        <f>IF($J588=0,"",IF(INDEX('Прайс и заказ'!C:C,$J588)="","",INDEX('Прайс и заказ'!C:C,$J588)))</f>
      </c>
      <c r="D588" s="64" t="str">
        <f>IF($J588=0,"",IF(INDEX('Прайс и заказ'!D:D,$J588)="","",INDEX('Прайс и заказ'!D:D,$J588)))</f>
      </c>
      <c r="E588" s="61" t="str">
        <f>IF($J588=0,"",IF(INDEX('Прайс и заказ'!F:F,$J588)="","",INDEX('Прайс и заказ'!F:F,$J588)))</f>
      </c>
      <c r="F588" s="62" t="str">
        <f>IF($J588=0,"",IF(INDEX('Прайс и заказ'!I:I,$J588)="","",INDEX('Прайс и заказ'!I:I,$J588)))</f>
      </c>
      <c r="G588" s="63" t="str">
        <f>IF($J588=0,"",IF(INDEX('Прайс и заказ'!K:K,$J588)="","",INDEX('Прайс и заказ'!K:K,$J588)))</f>
      </c>
      <c r="H588" s="62" t="str">
        <f>IF($J588=0,"",IF(INDEX('Прайс и заказ'!L:L,$J588)="","",INDEX('Прайс и заказ'!L:L,$J588)))</f>
      </c>
      <c r="I588" s="13" t="str">
        <f>IF($J588=0,"",IF(INDEX('Прайс и заказ'!M:M,$J588)="","",INDEX('Прайс и заказ'!M:M,$J588)))</f>
      </c>
      <c r="J588" t="str">
        <f>IFERROR(MATCH(580,'Прайс и заказ'!$N$7:$N$781,0)+6,0)</f>
      </c>
    </row>
    <row r="589" spans="1:11" customHeight="1" ht="40">
      <c r="A589" s="13" t="str">
        <f>IF($J589=0,"",IFERROR(_xlfn.IMAGE(INDEX('Прайс и заказ'!$O:$O,$J589)),""))</f>
      </c>
      <c r="B589" s="61" t="str">
        <f>IF($J589=0,"",IF(INDEX('Прайс и заказ'!B:B,$J589)="","",INDEX('Прайс и заказ'!B:B,$J589)))</f>
      </c>
      <c r="C589" s="64" t="str">
        <f>IF($J589=0,"",IF(INDEX('Прайс и заказ'!C:C,$J589)="","",INDEX('Прайс и заказ'!C:C,$J589)))</f>
      </c>
      <c r="D589" s="64" t="str">
        <f>IF($J589=0,"",IF(INDEX('Прайс и заказ'!D:D,$J589)="","",INDEX('Прайс и заказ'!D:D,$J589)))</f>
      </c>
      <c r="E589" s="61" t="str">
        <f>IF($J589=0,"",IF(INDEX('Прайс и заказ'!F:F,$J589)="","",INDEX('Прайс и заказ'!F:F,$J589)))</f>
      </c>
      <c r="F589" s="62" t="str">
        <f>IF($J589=0,"",IF(INDEX('Прайс и заказ'!I:I,$J589)="","",INDEX('Прайс и заказ'!I:I,$J589)))</f>
      </c>
      <c r="G589" s="63" t="str">
        <f>IF($J589=0,"",IF(INDEX('Прайс и заказ'!K:K,$J589)="","",INDEX('Прайс и заказ'!K:K,$J589)))</f>
      </c>
      <c r="H589" s="62" t="str">
        <f>IF($J589=0,"",IF(INDEX('Прайс и заказ'!L:L,$J589)="","",INDEX('Прайс и заказ'!L:L,$J589)))</f>
      </c>
      <c r="I589" s="13" t="str">
        <f>IF($J589=0,"",IF(INDEX('Прайс и заказ'!M:M,$J589)="","",INDEX('Прайс и заказ'!M:M,$J589)))</f>
      </c>
      <c r="J589" t="str">
        <f>IFERROR(MATCH(581,'Прайс и заказ'!$N$7:$N$781,0)+6,0)</f>
      </c>
    </row>
    <row r="590" spans="1:11" customHeight="1" ht="40">
      <c r="A590" s="13" t="str">
        <f>IF($J590=0,"",IFERROR(_xlfn.IMAGE(INDEX('Прайс и заказ'!$O:$O,$J590)),""))</f>
      </c>
      <c r="B590" s="61" t="str">
        <f>IF($J590=0,"",IF(INDEX('Прайс и заказ'!B:B,$J590)="","",INDEX('Прайс и заказ'!B:B,$J590)))</f>
      </c>
      <c r="C590" s="64" t="str">
        <f>IF($J590=0,"",IF(INDEX('Прайс и заказ'!C:C,$J590)="","",INDEX('Прайс и заказ'!C:C,$J590)))</f>
      </c>
      <c r="D590" s="64" t="str">
        <f>IF($J590=0,"",IF(INDEX('Прайс и заказ'!D:D,$J590)="","",INDEX('Прайс и заказ'!D:D,$J590)))</f>
      </c>
      <c r="E590" s="61" t="str">
        <f>IF($J590=0,"",IF(INDEX('Прайс и заказ'!F:F,$J590)="","",INDEX('Прайс и заказ'!F:F,$J590)))</f>
      </c>
      <c r="F590" s="62" t="str">
        <f>IF($J590=0,"",IF(INDEX('Прайс и заказ'!I:I,$J590)="","",INDEX('Прайс и заказ'!I:I,$J590)))</f>
      </c>
      <c r="G590" s="63" t="str">
        <f>IF($J590=0,"",IF(INDEX('Прайс и заказ'!K:K,$J590)="","",INDEX('Прайс и заказ'!K:K,$J590)))</f>
      </c>
      <c r="H590" s="62" t="str">
        <f>IF($J590=0,"",IF(INDEX('Прайс и заказ'!L:L,$J590)="","",INDEX('Прайс и заказ'!L:L,$J590)))</f>
      </c>
      <c r="I590" s="13" t="str">
        <f>IF($J590=0,"",IF(INDEX('Прайс и заказ'!M:M,$J590)="","",INDEX('Прайс и заказ'!M:M,$J590)))</f>
      </c>
      <c r="J590" t="str">
        <f>IFERROR(MATCH(582,'Прайс и заказ'!$N$7:$N$781,0)+6,0)</f>
      </c>
    </row>
    <row r="591" spans="1:11" customHeight="1" ht="40">
      <c r="A591" s="13" t="str">
        <f>IF($J591=0,"",IFERROR(_xlfn.IMAGE(INDEX('Прайс и заказ'!$O:$O,$J591)),""))</f>
      </c>
      <c r="B591" s="61" t="str">
        <f>IF($J591=0,"",IF(INDEX('Прайс и заказ'!B:B,$J591)="","",INDEX('Прайс и заказ'!B:B,$J591)))</f>
      </c>
      <c r="C591" s="64" t="str">
        <f>IF($J591=0,"",IF(INDEX('Прайс и заказ'!C:C,$J591)="","",INDEX('Прайс и заказ'!C:C,$J591)))</f>
      </c>
      <c r="D591" s="64" t="str">
        <f>IF($J591=0,"",IF(INDEX('Прайс и заказ'!D:D,$J591)="","",INDEX('Прайс и заказ'!D:D,$J591)))</f>
      </c>
      <c r="E591" s="61" t="str">
        <f>IF($J591=0,"",IF(INDEX('Прайс и заказ'!F:F,$J591)="","",INDEX('Прайс и заказ'!F:F,$J591)))</f>
      </c>
      <c r="F591" s="62" t="str">
        <f>IF($J591=0,"",IF(INDEX('Прайс и заказ'!I:I,$J591)="","",INDEX('Прайс и заказ'!I:I,$J591)))</f>
      </c>
      <c r="G591" s="63" t="str">
        <f>IF($J591=0,"",IF(INDEX('Прайс и заказ'!K:K,$J591)="","",INDEX('Прайс и заказ'!K:K,$J591)))</f>
      </c>
      <c r="H591" s="62" t="str">
        <f>IF($J591=0,"",IF(INDEX('Прайс и заказ'!L:L,$J591)="","",INDEX('Прайс и заказ'!L:L,$J591)))</f>
      </c>
      <c r="I591" s="13" t="str">
        <f>IF($J591=0,"",IF(INDEX('Прайс и заказ'!M:M,$J591)="","",INDEX('Прайс и заказ'!M:M,$J591)))</f>
      </c>
      <c r="J591" t="str">
        <f>IFERROR(MATCH(583,'Прайс и заказ'!$N$7:$N$781,0)+6,0)</f>
      </c>
    </row>
    <row r="592" spans="1:11" customHeight="1" ht="40">
      <c r="A592" s="13" t="str">
        <f>IF($J592=0,"",IFERROR(_xlfn.IMAGE(INDEX('Прайс и заказ'!$O:$O,$J592)),""))</f>
      </c>
      <c r="B592" s="61" t="str">
        <f>IF($J592=0,"",IF(INDEX('Прайс и заказ'!B:B,$J592)="","",INDEX('Прайс и заказ'!B:B,$J592)))</f>
      </c>
      <c r="C592" s="64" t="str">
        <f>IF($J592=0,"",IF(INDEX('Прайс и заказ'!C:C,$J592)="","",INDEX('Прайс и заказ'!C:C,$J592)))</f>
      </c>
      <c r="D592" s="64" t="str">
        <f>IF($J592=0,"",IF(INDEX('Прайс и заказ'!D:D,$J592)="","",INDEX('Прайс и заказ'!D:D,$J592)))</f>
      </c>
      <c r="E592" s="61" t="str">
        <f>IF($J592=0,"",IF(INDEX('Прайс и заказ'!F:F,$J592)="","",INDEX('Прайс и заказ'!F:F,$J592)))</f>
      </c>
      <c r="F592" s="62" t="str">
        <f>IF($J592=0,"",IF(INDEX('Прайс и заказ'!I:I,$J592)="","",INDEX('Прайс и заказ'!I:I,$J592)))</f>
      </c>
      <c r="G592" s="63" t="str">
        <f>IF($J592=0,"",IF(INDEX('Прайс и заказ'!K:K,$J592)="","",INDEX('Прайс и заказ'!K:K,$J592)))</f>
      </c>
      <c r="H592" s="62" t="str">
        <f>IF($J592=0,"",IF(INDEX('Прайс и заказ'!L:L,$J592)="","",INDEX('Прайс и заказ'!L:L,$J592)))</f>
      </c>
      <c r="I592" s="13" t="str">
        <f>IF($J592=0,"",IF(INDEX('Прайс и заказ'!M:M,$J592)="","",INDEX('Прайс и заказ'!M:M,$J592)))</f>
      </c>
      <c r="J592" t="str">
        <f>IFERROR(MATCH(584,'Прайс и заказ'!$N$7:$N$781,0)+6,0)</f>
      </c>
    </row>
    <row r="593" spans="1:11" customHeight="1" ht="40">
      <c r="A593" s="13" t="str">
        <f>IF($J593=0,"",IFERROR(_xlfn.IMAGE(INDEX('Прайс и заказ'!$O:$O,$J593)),""))</f>
      </c>
      <c r="B593" s="61" t="str">
        <f>IF($J593=0,"",IF(INDEX('Прайс и заказ'!B:B,$J593)="","",INDEX('Прайс и заказ'!B:B,$J593)))</f>
      </c>
      <c r="C593" s="64" t="str">
        <f>IF($J593=0,"",IF(INDEX('Прайс и заказ'!C:C,$J593)="","",INDEX('Прайс и заказ'!C:C,$J593)))</f>
      </c>
      <c r="D593" s="64" t="str">
        <f>IF($J593=0,"",IF(INDEX('Прайс и заказ'!D:D,$J593)="","",INDEX('Прайс и заказ'!D:D,$J593)))</f>
      </c>
      <c r="E593" s="61" t="str">
        <f>IF($J593=0,"",IF(INDEX('Прайс и заказ'!F:F,$J593)="","",INDEX('Прайс и заказ'!F:F,$J593)))</f>
      </c>
      <c r="F593" s="62" t="str">
        <f>IF($J593=0,"",IF(INDEX('Прайс и заказ'!I:I,$J593)="","",INDEX('Прайс и заказ'!I:I,$J593)))</f>
      </c>
      <c r="G593" s="63" t="str">
        <f>IF($J593=0,"",IF(INDEX('Прайс и заказ'!K:K,$J593)="","",INDEX('Прайс и заказ'!K:K,$J593)))</f>
      </c>
      <c r="H593" s="62" t="str">
        <f>IF($J593=0,"",IF(INDEX('Прайс и заказ'!L:L,$J593)="","",INDEX('Прайс и заказ'!L:L,$J593)))</f>
      </c>
      <c r="I593" s="13" t="str">
        <f>IF($J593=0,"",IF(INDEX('Прайс и заказ'!M:M,$J593)="","",INDEX('Прайс и заказ'!M:M,$J593)))</f>
      </c>
      <c r="J593" t="str">
        <f>IFERROR(MATCH(585,'Прайс и заказ'!$N$7:$N$781,0)+6,0)</f>
      </c>
    </row>
    <row r="594" spans="1:11" customHeight="1" ht="40">
      <c r="A594" s="13" t="str">
        <f>IF($J594=0,"",IFERROR(_xlfn.IMAGE(INDEX('Прайс и заказ'!$O:$O,$J594)),""))</f>
      </c>
      <c r="B594" s="61" t="str">
        <f>IF($J594=0,"",IF(INDEX('Прайс и заказ'!B:B,$J594)="","",INDEX('Прайс и заказ'!B:B,$J594)))</f>
      </c>
      <c r="C594" s="64" t="str">
        <f>IF($J594=0,"",IF(INDEX('Прайс и заказ'!C:C,$J594)="","",INDEX('Прайс и заказ'!C:C,$J594)))</f>
      </c>
      <c r="D594" s="64" t="str">
        <f>IF($J594=0,"",IF(INDEX('Прайс и заказ'!D:D,$J594)="","",INDEX('Прайс и заказ'!D:D,$J594)))</f>
      </c>
      <c r="E594" s="61" t="str">
        <f>IF($J594=0,"",IF(INDEX('Прайс и заказ'!F:F,$J594)="","",INDEX('Прайс и заказ'!F:F,$J594)))</f>
      </c>
      <c r="F594" s="62" t="str">
        <f>IF($J594=0,"",IF(INDEX('Прайс и заказ'!I:I,$J594)="","",INDEX('Прайс и заказ'!I:I,$J594)))</f>
      </c>
      <c r="G594" s="63" t="str">
        <f>IF($J594=0,"",IF(INDEX('Прайс и заказ'!K:K,$J594)="","",INDEX('Прайс и заказ'!K:K,$J594)))</f>
      </c>
      <c r="H594" s="62" t="str">
        <f>IF($J594=0,"",IF(INDEX('Прайс и заказ'!L:L,$J594)="","",INDEX('Прайс и заказ'!L:L,$J594)))</f>
      </c>
      <c r="I594" s="13" t="str">
        <f>IF($J594=0,"",IF(INDEX('Прайс и заказ'!M:M,$J594)="","",INDEX('Прайс и заказ'!M:M,$J594)))</f>
      </c>
      <c r="J594" t="str">
        <f>IFERROR(MATCH(586,'Прайс и заказ'!$N$7:$N$781,0)+6,0)</f>
      </c>
    </row>
    <row r="595" spans="1:11" customHeight="1" ht="40">
      <c r="A595" s="13" t="str">
        <f>IF($J595=0,"",IFERROR(_xlfn.IMAGE(INDEX('Прайс и заказ'!$O:$O,$J595)),""))</f>
      </c>
      <c r="B595" s="61" t="str">
        <f>IF($J595=0,"",IF(INDEX('Прайс и заказ'!B:B,$J595)="","",INDEX('Прайс и заказ'!B:B,$J595)))</f>
      </c>
      <c r="C595" s="64" t="str">
        <f>IF($J595=0,"",IF(INDEX('Прайс и заказ'!C:C,$J595)="","",INDEX('Прайс и заказ'!C:C,$J595)))</f>
      </c>
      <c r="D595" s="64" t="str">
        <f>IF($J595=0,"",IF(INDEX('Прайс и заказ'!D:D,$J595)="","",INDEX('Прайс и заказ'!D:D,$J595)))</f>
      </c>
      <c r="E595" s="61" t="str">
        <f>IF($J595=0,"",IF(INDEX('Прайс и заказ'!F:F,$J595)="","",INDEX('Прайс и заказ'!F:F,$J595)))</f>
      </c>
      <c r="F595" s="62" t="str">
        <f>IF($J595=0,"",IF(INDEX('Прайс и заказ'!I:I,$J595)="","",INDEX('Прайс и заказ'!I:I,$J595)))</f>
      </c>
      <c r="G595" s="63" t="str">
        <f>IF($J595=0,"",IF(INDEX('Прайс и заказ'!K:K,$J595)="","",INDEX('Прайс и заказ'!K:K,$J595)))</f>
      </c>
      <c r="H595" s="62" t="str">
        <f>IF($J595=0,"",IF(INDEX('Прайс и заказ'!L:L,$J595)="","",INDEX('Прайс и заказ'!L:L,$J595)))</f>
      </c>
      <c r="I595" s="13" t="str">
        <f>IF($J595=0,"",IF(INDEX('Прайс и заказ'!M:M,$J595)="","",INDEX('Прайс и заказ'!M:M,$J595)))</f>
      </c>
      <c r="J595" t="str">
        <f>IFERROR(MATCH(587,'Прайс и заказ'!$N$7:$N$781,0)+6,0)</f>
      </c>
    </row>
    <row r="596" spans="1:11" customHeight="1" ht="40">
      <c r="A596" s="13" t="str">
        <f>IF($J596=0,"",IFERROR(_xlfn.IMAGE(INDEX('Прайс и заказ'!$O:$O,$J596)),""))</f>
      </c>
      <c r="B596" s="61" t="str">
        <f>IF($J596=0,"",IF(INDEX('Прайс и заказ'!B:B,$J596)="","",INDEX('Прайс и заказ'!B:B,$J596)))</f>
      </c>
      <c r="C596" s="64" t="str">
        <f>IF($J596=0,"",IF(INDEX('Прайс и заказ'!C:C,$J596)="","",INDEX('Прайс и заказ'!C:C,$J596)))</f>
      </c>
      <c r="D596" s="64" t="str">
        <f>IF($J596=0,"",IF(INDEX('Прайс и заказ'!D:D,$J596)="","",INDEX('Прайс и заказ'!D:D,$J596)))</f>
      </c>
      <c r="E596" s="61" t="str">
        <f>IF($J596=0,"",IF(INDEX('Прайс и заказ'!F:F,$J596)="","",INDEX('Прайс и заказ'!F:F,$J596)))</f>
      </c>
      <c r="F596" s="62" t="str">
        <f>IF($J596=0,"",IF(INDEX('Прайс и заказ'!I:I,$J596)="","",INDEX('Прайс и заказ'!I:I,$J596)))</f>
      </c>
      <c r="G596" s="63" t="str">
        <f>IF($J596=0,"",IF(INDEX('Прайс и заказ'!K:K,$J596)="","",INDEX('Прайс и заказ'!K:K,$J596)))</f>
      </c>
      <c r="H596" s="62" t="str">
        <f>IF($J596=0,"",IF(INDEX('Прайс и заказ'!L:L,$J596)="","",INDEX('Прайс и заказ'!L:L,$J596)))</f>
      </c>
      <c r="I596" s="13" t="str">
        <f>IF($J596=0,"",IF(INDEX('Прайс и заказ'!M:M,$J596)="","",INDEX('Прайс и заказ'!M:M,$J596)))</f>
      </c>
      <c r="J596" t="str">
        <f>IFERROR(MATCH(588,'Прайс и заказ'!$N$7:$N$781,0)+6,0)</f>
      </c>
    </row>
    <row r="597" spans="1:11" customHeight="1" ht="40">
      <c r="A597" s="13" t="str">
        <f>IF($J597=0,"",IFERROR(_xlfn.IMAGE(INDEX('Прайс и заказ'!$O:$O,$J597)),""))</f>
      </c>
      <c r="B597" s="61" t="str">
        <f>IF($J597=0,"",IF(INDEX('Прайс и заказ'!B:B,$J597)="","",INDEX('Прайс и заказ'!B:B,$J597)))</f>
      </c>
      <c r="C597" s="64" t="str">
        <f>IF($J597=0,"",IF(INDEX('Прайс и заказ'!C:C,$J597)="","",INDEX('Прайс и заказ'!C:C,$J597)))</f>
      </c>
      <c r="D597" s="64" t="str">
        <f>IF($J597=0,"",IF(INDEX('Прайс и заказ'!D:D,$J597)="","",INDEX('Прайс и заказ'!D:D,$J597)))</f>
      </c>
      <c r="E597" s="61" t="str">
        <f>IF($J597=0,"",IF(INDEX('Прайс и заказ'!F:F,$J597)="","",INDEX('Прайс и заказ'!F:F,$J597)))</f>
      </c>
      <c r="F597" s="62" t="str">
        <f>IF($J597=0,"",IF(INDEX('Прайс и заказ'!I:I,$J597)="","",INDEX('Прайс и заказ'!I:I,$J597)))</f>
      </c>
      <c r="G597" s="63" t="str">
        <f>IF($J597=0,"",IF(INDEX('Прайс и заказ'!K:K,$J597)="","",INDEX('Прайс и заказ'!K:K,$J597)))</f>
      </c>
      <c r="H597" s="62" t="str">
        <f>IF($J597=0,"",IF(INDEX('Прайс и заказ'!L:L,$J597)="","",INDEX('Прайс и заказ'!L:L,$J597)))</f>
      </c>
      <c r="I597" s="13" t="str">
        <f>IF($J597=0,"",IF(INDEX('Прайс и заказ'!M:M,$J597)="","",INDEX('Прайс и заказ'!M:M,$J597)))</f>
      </c>
      <c r="J597" t="str">
        <f>IFERROR(MATCH(589,'Прайс и заказ'!$N$7:$N$781,0)+6,0)</f>
      </c>
    </row>
    <row r="598" spans="1:11" customHeight="1" ht="40">
      <c r="A598" s="13" t="str">
        <f>IF($J598=0,"",IFERROR(_xlfn.IMAGE(INDEX('Прайс и заказ'!$O:$O,$J598)),""))</f>
      </c>
      <c r="B598" s="61" t="str">
        <f>IF($J598=0,"",IF(INDEX('Прайс и заказ'!B:B,$J598)="","",INDEX('Прайс и заказ'!B:B,$J598)))</f>
      </c>
      <c r="C598" s="64" t="str">
        <f>IF($J598=0,"",IF(INDEX('Прайс и заказ'!C:C,$J598)="","",INDEX('Прайс и заказ'!C:C,$J598)))</f>
      </c>
      <c r="D598" s="64" t="str">
        <f>IF($J598=0,"",IF(INDEX('Прайс и заказ'!D:D,$J598)="","",INDEX('Прайс и заказ'!D:D,$J598)))</f>
      </c>
      <c r="E598" s="61" t="str">
        <f>IF($J598=0,"",IF(INDEX('Прайс и заказ'!F:F,$J598)="","",INDEX('Прайс и заказ'!F:F,$J598)))</f>
      </c>
      <c r="F598" s="62" t="str">
        <f>IF($J598=0,"",IF(INDEX('Прайс и заказ'!I:I,$J598)="","",INDEX('Прайс и заказ'!I:I,$J598)))</f>
      </c>
      <c r="G598" s="63" t="str">
        <f>IF($J598=0,"",IF(INDEX('Прайс и заказ'!K:K,$J598)="","",INDEX('Прайс и заказ'!K:K,$J598)))</f>
      </c>
      <c r="H598" s="62" t="str">
        <f>IF($J598=0,"",IF(INDEX('Прайс и заказ'!L:L,$J598)="","",INDEX('Прайс и заказ'!L:L,$J598)))</f>
      </c>
      <c r="I598" s="13" t="str">
        <f>IF($J598=0,"",IF(INDEX('Прайс и заказ'!M:M,$J598)="","",INDEX('Прайс и заказ'!M:M,$J598)))</f>
      </c>
      <c r="J598" t="str">
        <f>IFERROR(MATCH(590,'Прайс и заказ'!$N$7:$N$781,0)+6,0)</f>
      </c>
    </row>
    <row r="599" spans="1:11" customHeight="1" ht="40">
      <c r="A599" s="13" t="str">
        <f>IF($J599=0,"",IFERROR(_xlfn.IMAGE(INDEX('Прайс и заказ'!$O:$O,$J599)),""))</f>
      </c>
      <c r="B599" s="61" t="str">
        <f>IF($J599=0,"",IF(INDEX('Прайс и заказ'!B:B,$J599)="","",INDEX('Прайс и заказ'!B:B,$J599)))</f>
      </c>
      <c r="C599" s="64" t="str">
        <f>IF($J599=0,"",IF(INDEX('Прайс и заказ'!C:C,$J599)="","",INDEX('Прайс и заказ'!C:C,$J599)))</f>
      </c>
      <c r="D599" s="64" t="str">
        <f>IF($J599=0,"",IF(INDEX('Прайс и заказ'!D:D,$J599)="","",INDEX('Прайс и заказ'!D:D,$J599)))</f>
      </c>
      <c r="E599" s="61" t="str">
        <f>IF($J599=0,"",IF(INDEX('Прайс и заказ'!F:F,$J599)="","",INDEX('Прайс и заказ'!F:F,$J599)))</f>
      </c>
      <c r="F599" s="62" t="str">
        <f>IF($J599=0,"",IF(INDEX('Прайс и заказ'!I:I,$J599)="","",INDEX('Прайс и заказ'!I:I,$J599)))</f>
      </c>
      <c r="G599" s="63" t="str">
        <f>IF($J599=0,"",IF(INDEX('Прайс и заказ'!K:K,$J599)="","",INDEX('Прайс и заказ'!K:K,$J599)))</f>
      </c>
      <c r="H599" s="62" t="str">
        <f>IF($J599=0,"",IF(INDEX('Прайс и заказ'!L:L,$J599)="","",INDEX('Прайс и заказ'!L:L,$J599)))</f>
      </c>
      <c r="I599" s="13" t="str">
        <f>IF($J599=0,"",IF(INDEX('Прайс и заказ'!M:M,$J599)="","",INDEX('Прайс и заказ'!M:M,$J599)))</f>
      </c>
      <c r="J599" t="str">
        <f>IFERROR(MATCH(591,'Прайс и заказ'!$N$7:$N$781,0)+6,0)</f>
      </c>
    </row>
    <row r="600" spans="1:11" customHeight="1" ht="40">
      <c r="A600" s="13" t="str">
        <f>IF($J600=0,"",IFERROR(_xlfn.IMAGE(INDEX('Прайс и заказ'!$O:$O,$J600)),""))</f>
      </c>
      <c r="B600" s="61" t="str">
        <f>IF($J600=0,"",IF(INDEX('Прайс и заказ'!B:B,$J600)="","",INDEX('Прайс и заказ'!B:B,$J600)))</f>
      </c>
      <c r="C600" s="64" t="str">
        <f>IF($J600=0,"",IF(INDEX('Прайс и заказ'!C:C,$J600)="","",INDEX('Прайс и заказ'!C:C,$J600)))</f>
      </c>
      <c r="D600" s="64" t="str">
        <f>IF($J600=0,"",IF(INDEX('Прайс и заказ'!D:D,$J600)="","",INDEX('Прайс и заказ'!D:D,$J600)))</f>
      </c>
      <c r="E600" s="61" t="str">
        <f>IF($J600=0,"",IF(INDEX('Прайс и заказ'!F:F,$J600)="","",INDEX('Прайс и заказ'!F:F,$J600)))</f>
      </c>
      <c r="F600" s="62" t="str">
        <f>IF($J600=0,"",IF(INDEX('Прайс и заказ'!I:I,$J600)="","",INDEX('Прайс и заказ'!I:I,$J600)))</f>
      </c>
      <c r="G600" s="63" t="str">
        <f>IF($J600=0,"",IF(INDEX('Прайс и заказ'!K:K,$J600)="","",INDEX('Прайс и заказ'!K:K,$J600)))</f>
      </c>
      <c r="H600" s="62" t="str">
        <f>IF($J600=0,"",IF(INDEX('Прайс и заказ'!L:L,$J600)="","",INDEX('Прайс и заказ'!L:L,$J600)))</f>
      </c>
      <c r="I600" s="13" t="str">
        <f>IF($J600=0,"",IF(INDEX('Прайс и заказ'!M:M,$J600)="","",INDEX('Прайс и заказ'!M:M,$J600)))</f>
      </c>
      <c r="J600" t="str">
        <f>IFERROR(MATCH(592,'Прайс и заказ'!$N$7:$N$781,0)+6,0)</f>
      </c>
    </row>
    <row r="601" spans="1:11" customHeight="1" ht="40">
      <c r="A601" s="13" t="str">
        <f>IF($J601=0,"",IFERROR(_xlfn.IMAGE(INDEX('Прайс и заказ'!$O:$O,$J601)),""))</f>
      </c>
      <c r="B601" s="61" t="str">
        <f>IF($J601=0,"",IF(INDEX('Прайс и заказ'!B:B,$J601)="","",INDEX('Прайс и заказ'!B:B,$J601)))</f>
      </c>
      <c r="C601" s="64" t="str">
        <f>IF($J601=0,"",IF(INDEX('Прайс и заказ'!C:C,$J601)="","",INDEX('Прайс и заказ'!C:C,$J601)))</f>
      </c>
      <c r="D601" s="64" t="str">
        <f>IF($J601=0,"",IF(INDEX('Прайс и заказ'!D:D,$J601)="","",INDEX('Прайс и заказ'!D:D,$J601)))</f>
      </c>
      <c r="E601" s="61" t="str">
        <f>IF($J601=0,"",IF(INDEX('Прайс и заказ'!F:F,$J601)="","",INDEX('Прайс и заказ'!F:F,$J601)))</f>
      </c>
      <c r="F601" s="62" t="str">
        <f>IF($J601=0,"",IF(INDEX('Прайс и заказ'!I:I,$J601)="","",INDEX('Прайс и заказ'!I:I,$J601)))</f>
      </c>
      <c r="G601" s="63" t="str">
        <f>IF($J601=0,"",IF(INDEX('Прайс и заказ'!K:K,$J601)="","",INDEX('Прайс и заказ'!K:K,$J601)))</f>
      </c>
      <c r="H601" s="62" t="str">
        <f>IF($J601=0,"",IF(INDEX('Прайс и заказ'!L:L,$J601)="","",INDEX('Прайс и заказ'!L:L,$J601)))</f>
      </c>
      <c r="I601" s="13" t="str">
        <f>IF($J601=0,"",IF(INDEX('Прайс и заказ'!M:M,$J601)="","",INDEX('Прайс и заказ'!M:M,$J601)))</f>
      </c>
      <c r="J601" t="str">
        <f>IFERROR(MATCH(593,'Прайс и заказ'!$N$7:$N$781,0)+6,0)</f>
      </c>
    </row>
    <row r="602" spans="1:11" customHeight="1" ht="40">
      <c r="A602" s="13" t="str">
        <f>IF($J602=0,"",IFERROR(_xlfn.IMAGE(INDEX('Прайс и заказ'!$O:$O,$J602)),""))</f>
      </c>
      <c r="B602" s="61" t="str">
        <f>IF($J602=0,"",IF(INDEX('Прайс и заказ'!B:B,$J602)="","",INDEX('Прайс и заказ'!B:B,$J602)))</f>
      </c>
      <c r="C602" s="64" t="str">
        <f>IF($J602=0,"",IF(INDEX('Прайс и заказ'!C:C,$J602)="","",INDEX('Прайс и заказ'!C:C,$J602)))</f>
      </c>
      <c r="D602" s="64" t="str">
        <f>IF($J602=0,"",IF(INDEX('Прайс и заказ'!D:D,$J602)="","",INDEX('Прайс и заказ'!D:D,$J602)))</f>
      </c>
      <c r="E602" s="61" t="str">
        <f>IF($J602=0,"",IF(INDEX('Прайс и заказ'!F:F,$J602)="","",INDEX('Прайс и заказ'!F:F,$J602)))</f>
      </c>
      <c r="F602" s="62" t="str">
        <f>IF($J602=0,"",IF(INDEX('Прайс и заказ'!I:I,$J602)="","",INDEX('Прайс и заказ'!I:I,$J602)))</f>
      </c>
      <c r="G602" s="63" t="str">
        <f>IF($J602=0,"",IF(INDEX('Прайс и заказ'!K:K,$J602)="","",INDEX('Прайс и заказ'!K:K,$J602)))</f>
      </c>
      <c r="H602" s="62" t="str">
        <f>IF($J602=0,"",IF(INDEX('Прайс и заказ'!L:L,$J602)="","",INDEX('Прайс и заказ'!L:L,$J602)))</f>
      </c>
      <c r="I602" s="13" t="str">
        <f>IF($J602=0,"",IF(INDEX('Прайс и заказ'!M:M,$J602)="","",INDEX('Прайс и заказ'!M:M,$J602)))</f>
      </c>
      <c r="J602" t="str">
        <f>IFERROR(MATCH(594,'Прайс и заказ'!$N$7:$N$781,0)+6,0)</f>
      </c>
    </row>
    <row r="603" spans="1:11" customHeight="1" ht="40">
      <c r="A603" s="13" t="str">
        <f>IF($J603=0,"",IFERROR(_xlfn.IMAGE(INDEX('Прайс и заказ'!$O:$O,$J603)),""))</f>
      </c>
      <c r="B603" s="61" t="str">
        <f>IF($J603=0,"",IF(INDEX('Прайс и заказ'!B:B,$J603)="","",INDEX('Прайс и заказ'!B:B,$J603)))</f>
      </c>
      <c r="C603" s="64" t="str">
        <f>IF($J603=0,"",IF(INDEX('Прайс и заказ'!C:C,$J603)="","",INDEX('Прайс и заказ'!C:C,$J603)))</f>
      </c>
      <c r="D603" s="64" t="str">
        <f>IF($J603=0,"",IF(INDEX('Прайс и заказ'!D:D,$J603)="","",INDEX('Прайс и заказ'!D:D,$J603)))</f>
      </c>
      <c r="E603" s="61" t="str">
        <f>IF($J603=0,"",IF(INDEX('Прайс и заказ'!F:F,$J603)="","",INDEX('Прайс и заказ'!F:F,$J603)))</f>
      </c>
      <c r="F603" s="62" t="str">
        <f>IF($J603=0,"",IF(INDEX('Прайс и заказ'!I:I,$J603)="","",INDEX('Прайс и заказ'!I:I,$J603)))</f>
      </c>
      <c r="G603" s="63" t="str">
        <f>IF($J603=0,"",IF(INDEX('Прайс и заказ'!K:K,$J603)="","",INDEX('Прайс и заказ'!K:K,$J603)))</f>
      </c>
      <c r="H603" s="62" t="str">
        <f>IF($J603=0,"",IF(INDEX('Прайс и заказ'!L:L,$J603)="","",INDEX('Прайс и заказ'!L:L,$J603)))</f>
      </c>
      <c r="I603" s="13" t="str">
        <f>IF($J603=0,"",IF(INDEX('Прайс и заказ'!M:M,$J603)="","",INDEX('Прайс и заказ'!M:M,$J603)))</f>
      </c>
      <c r="J603" t="str">
        <f>IFERROR(MATCH(595,'Прайс и заказ'!$N$7:$N$781,0)+6,0)</f>
      </c>
    </row>
    <row r="604" spans="1:11" customHeight="1" ht="40">
      <c r="A604" s="13" t="str">
        <f>IF($J604=0,"",IFERROR(_xlfn.IMAGE(INDEX('Прайс и заказ'!$O:$O,$J604)),""))</f>
      </c>
      <c r="B604" s="61" t="str">
        <f>IF($J604=0,"",IF(INDEX('Прайс и заказ'!B:B,$J604)="","",INDEX('Прайс и заказ'!B:B,$J604)))</f>
      </c>
      <c r="C604" s="64" t="str">
        <f>IF($J604=0,"",IF(INDEX('Прайс и заказ'!C:C,$J604)="","",INDEX('Прайс и заказ'!C:C,$J604)))</f>
      </c>
      <c r="D604" s="64" t="str">
        <f>IF($J604=0,"",IF(INDEX('Прайс и заказ'!D:D,$J604)="","",INDEX('Прайс и заказ'!D:D,$J604)))</f>
      </c>
      <c r="E604" s="61" t="str">
        <f>IF($J604=0,"",IF(INDEX('Прайс и заказ'!F:F,$J604)="","",INDEX('Прайс и заказ'!F:F,$J604)))</f>
      </c>
      <c r="F604" s="62" t="str">
        <f>IF($J604=0,"",IF(INDEX('Прайс и заказ'!I:I,$J604)="","",INDEX('Прайс и заказ'!I:I,$J604)))</f>
      </c>
      <c r="G604" s="63" t="str">
        <f>IF($J604=0,"",IF(INDEX('Прайс и заказ'!K:K,$J604)="","",INDEX('Прайс и заказ'!K:K,$J604)))</f>
      </c>
      <c r="H604" s="62" t="str">
        <f>IF($J604=0,"",IF(INDEX('Прайс и заказ'!L:L,$J604)="","",INDEX('Прайс и заказ'!L:L,$J604)))</f>
      </c>
      <c r="I604" s="13" t="str">
        <f>IF($J604=0,"",IF(INDEX('Прайс и заказ'!M:M,$J604)="","",INDEX('Прайс и заказ'!M:M,$J604)))</f>
      </c>
      <c r="J604" t="str">
        <f>IFERROR(MATCH(596,'Прайс и заказ'!$N$7:$N$781,0)+6,0)</f>
      </c>
    </row>
    <row r="605" spans="1:11" customHeight="1" ht="40">
      <c r="A605" s="13" t="str">
        <f>IF($J605=0,"",IFERROR(_xlfn.IMAGE(INDEX('Прайс и заказ'!$O:$O,$J605)),""))</f>
      </c>
      <c r="B605" s="61" t="str">
        <f>IF($J605=0,"",IF(INDEX('Прайс и заказ'!B:B,$J605)="","",INDEX('Прайс и заказ'!B:B,$J605)))</f>
      </c>
      <c r="C605" s="64" t="str">
        <f>IF($J605=0,"",IF(INDEX('Прайс и заказ'!C:C,$J605)="","",INDEX('Прайс и заказ'!C:C,$J605)))</f>
      </c>
      <c r="D605" s="64" t="str">
        <f>IF($J605=0,"",IF(INDEX('Прайс и заказ'!D:D,$J605)="","",INDEX('Прайс и заказ'!D:D,$J605)))</f>
      </c>
      <c r="E605" s="61" t="str">
        <f>IF($J605=0,"",IF(INDEX('Прайс и заказ'!F:F,$J605)="","",INDEX('Прайс и заказ'!F:F,$J605)))</f>
      </c>
      <c r="F605" s="62" t="str">
        <f>IF($J605=0,"",IF(INDEX('Прайс и заказ'!I:I,$J605)="","",INDEX('Прайс и заказ'!I:I,$J605)))</f>
      </c>
      <c r="G605" s="63" t="str">
        <f>IF($J605=0,"",IF(INDEX('Прайс и заказ'!K:K,$J605)="","",INDEX('Прайс и заказ'!K:K,$J605)))</f>
      </c>
      <c r="H605" s="62" t="str">
        <f>IF($J605=0,"",IF(INDEX('Прайс и заказ'!L:L,$J605)="","",INDEX('Прайс и заказ'!L:L,$J605)))</f>
      </c>
      <c r="I605" s="13" t="str">
        <f>IF($J605=0,"",IF(INDEX('Прайс и заказ'!M:M,$J605)="","",INDEX('Прайс и заказ'!M:M,$J605)))</f>
      </c>
      <c r="J605" t="str">
        <f>IFERROR(MATCH(597,'Прайс и заказ'!$N$7:$N$781,0)+6,0)</f>
      </c>
    </row>
    <row r="606" spans="1:11" customHeight="1" ht="40">
      <c r="A606" s="13" t="str">
        <f>IF($J606=0,"",IFERROR(_xlfn.IMAGE(INDEX('Прайс и заказ'!$O:$O,$J606)),""))</f>
      </c>
      <c r="B606" s="61" t="str">
        <f>IF($J606=0,"",IF(INDEX('Прайс и заказ'!B:B,$J606)="","",INDEX('Прайс и заказ'!B:B,$J606)))</f>
      </c>
      <c r="C606" s="64" t="str">
        <f>IF($J606=0,"",IF(INDEX('Прайс и заказ'!C:C,$J606)="","",INDEX('Прайс и заказ'!C:C,$J606)))</f>
      </c>
      <c r="D606" s="64" t="str">
        <f>IF($J606=0,"",IF(INDEX('Прайс и заказ'!D:D,$J606)="","",INDEX('Прайс и заказ'!D:D,$J606)))</f>
      </c>
      <c r="E606" s="61" t="str">
        <f>IF($J606=0,"",IF(INDEX('Прайс и заказ'!F:F,$J606)="","",INDEX('Прайс и заказ'!F:F,$J606)))</f>
      </c>
      <c r="F606" s="62" t="str">
        <f>IF($J606=0,"",IF(INDEX('Прайс и заказ'!I:I,$J606)="","",INDEX('Прайс и заказ'!I:I,$J606)))</f>
      </c>
      <c r="G606" s="63" t="str">
        <f>IF($J606=0,"",IF(INDEX('Прайс и заказ'!K:K,$J606)="","",INDEX('Прайс и заказ'!K:K,$J606)))</f>
      </c>
      <c r="H606" s="62" t="str">
        <f>IF($J606=0,"",IF(INDEX('Прайс и заказ'!L:L,$J606)="","",INDEX('Прайс и заказ'!L:L,$J606)))</f>
      </c>
      <c r="I606" s="13" t="str">
        <f>IF($J606=0,"",IF(INDEX('Прайс и заказ'!M:M,$J606)="","",INDEX('Прайс и заказ'!M:M,$J606)))</f>
      </c>
      <c r="J606" t="str">
        <f>IFERROR(MATCH(598,'Прайс и заказ'!$N$7:$N$781,0)+6,0)</f>
      </c>
    </row>
    <row r="607" spans="1:11" customHeight="1" ht="40">
      <c r="A607" s="13" t="str">
        <f>IF($J607=0,"",IFERROR(_xlfn.IMAGE(INDEX('Прайс и заказ'!$O:$O,$J607)),""))</f>
      </c>
      <c r="B607" s="61" t="str">
        <f>IF($J607=0,"",IF(INDEX('Прайс и заказ'!B:B,$J607)="","",INDEX('Прайс и заказ'!B:B,$J607)))</f>
      </c>
      <c r="C607" s="64" t="str">
        <f>IF($J607=0,"",IF(INDEX('Прайс и заказ'!C:C,$J607)="","",INDEX('Прайс и заказ'!C:C,$J607)))</f>
      </c>
      <c r="D607" s="64" t="str">
        <f>IF($J607=0,"",IF(INDEX('Прайс и заказ'!D:D,$J607)="","",INDEX('Прайс и заказ'!D:D,$J607)))</f>
      </c>
      <c r="E607" s="61" t="str">
        <f>IF($J607=0,"",IF(INDEX('Прайс и заказ'!F:F,$J607)="","",INDEX('Прайс и заказ'!F:F,$J607)))</f>
      </c>
      <c r="F607" s="62" t="str">
        <f>IF($J607=0,"",IF(INDEX('Прайс и заказ'!I:I,$J607)="","",INDEX('Прайс и заказ'!I:I,$J607)))</f>
      </c>
      <c r="G607" s="63" t="str">
        <f>IF($J607=0,"",IF(INDEX('Прайс и заказ'!K:K,$J607)="","",INDEX('Прайс и заказ'!K:K,$J607)))</f>
      </c>
      <c r="H607" s="62" t="str">
        <f>IF($J607=0,"",IF(INDEX('Прайс и заказ'!L:L,$J607)="","",INDEX('Прайс и заказ'!L:L,$J607)))</f>
      </c>
      <c r="I607" s="13" t="str">
        <f>IF($J607=0,"",IF(INDEX('Прайс и заказ'!M:M,$J607)="","",INDEX('Прайс и заказ'!M:M,$J607)))</f>
      </c>
      <c r="J607" t="str">
        <f>IFERROR(MATCH(599,'Прайс и заказ'!$N$7:$N$781,0)+6,0)</f>
      </c>
    </row>
    <row r="608" spans="1:11" customHeight="1" ht="40">
      <c r="A608" s="13" t="str">
        <f>IF($J608=0,"",IFERROR(_xlfn.IMAGE(INDEX('Прайс и заказ'!$O:$O,$J608)),""))</f>
      </c>
      <c r="B608" s="61" t="str">
        <f>IF($J608=0,"",IF(INDEX('Прайс и заказ'!B:B,$J608)="","",INDEX('Прайс и заказ'!B:B,$J608)))</f>
      </c>
      <c r="C608" s="64" t="str">
        <f>IF($J608=0,"",IF(INDEX('Прайс и заказ'!C:C,$J608)="","",INDEX('Прайс и заказ'!C:C,$J608)))</f>
      </c>
      <c r="D608" s="64" t="str">
        <f>IF($J608=0,"",IF(INDEX('Прайс и заказ'!D:D,$J608)="","",INDEX('Прайс и заказ'!D:D,$J608)))</f>
      </c>
      <c r="E608" s="61" t="str">
        <f>IF($J608=0,"",IF(INDEX('Прайс и заказ'!F:F,$J608)="","",INDEX('Прайс и заказ'!F:F,$J608)))</f>
      </c>
      <c r="F608" s="62" t="str">
        <f>IF($J608=0,"",IF(INDEX('Прайс и заказ'!I:I,$J608)="","",INDEX('Прайс и заказ'!I:I,$J608)))</f>
      </c>
      <c r="G608" s="63" t="str">
        <f>IF($J608=0,"",IF(INDEX('Прайс и заказ'!K:K,$J608)="","",INDEX('Прайс и заказ'!K:K,$J608)))</f>
      </c>
      <c r="H608" s="62" t="str">
        <f>IF($J608=0,"",IF(INDEX('Прайс и заказ'!L:L,$J608)="","",INDEX('Прайс и заказ'!L:L,$J608)))</f>
      </c>
      <c r="I608" s="13" t="str">
        <f>IF($J608=0,"",IF(INDEX('Прайс и заказ'!M:M,$J608)="","",INDEX('Прайс и заказ'!M:M,$J608)))</f>
      </c>
      <c r="J608" t="str">
        <f>IFERROR(MATCH(600,'Прайс и заказ'!$N$7:$N$781,0)+6,0)</f>
      </c>
    </row>
    <row r="609" spans="1:11" customHeight="1" ht="40">
      <c r="A609" s="13" t="str">
        <f>IF($J609=0,"",IFERROR(_xlfn.IMAGE(INDEX('Прайс и заказ'!$O:$O,$J609)),""))</f>
      </c>
      <c r="B609" s="61" t="str">
        <f>IF($J609=0,"",IF(INDEX('Прайс и заказ'!B:B,$J609)="","",INDEX('Прайс и заказ'!B:B,$J609)))</f>
      </c>
      <c r="C609" s="64" t="str">
        <f>IF($J609=0,"",IF(INDEX('Прайс и заказ'!C:C,$J609)="","",INDEX('Прайс и заказ'!C:C,$J609)))</f>
      </c>
      <c r="D609" s="64" t="str">
        <f>IF($J609=0,"",IF(INDEX('Прайс и заказ'!D:D,$J609)="","",INDEX('Прайс и заказ'!D:D,$J609)))</f>
      </c>
      <c r="E609" s="61" t="str">
        <f>IF($J609=0,"",IF(INDEX('Прайс и заказ'!F:F,$J609)="","",INDEX('Прайс и заказ'!F:F,$J609)))</f>
      </c>
      <c r="F609" s="62" t="str">
        <f>IF($J609=0,"",IF(INDEX('Прайс и заказ'!I:I,$J609)="","",INDEX('Прайс и заказ'!I:I,$J609)))</f>
      </c>
      <c r="G609" s="63" t="str">
        <f>IF($J609=0,"",IF(INDEX('Прайс и заказ'!K:K,$J609)="","",INDEX('Прайс и заказ'!K:K,$J609)))</f>
      </c>
      <c r="H609" s="62" t="str">
        <f>IF($J609=0,"",IF(INDEX('Прайс и заказ'!L:L,$J609)="","",INDEX('Прайс и заказ'!L:L,$J609)))</f>
      </c>
      <c r="I609" s="13" t="str">
        <f>IF($J609=0,"",IF(INDEX('Прайс и заказ'!M:M,$J609)="","",INDEX('Прайс и заказ'!M:M,$J609)))</f>
      </c>
      <c r="J609" t="str">
        <f>IFERROR(MATCH(601,'Прайс и заказ'!$N$7:$N$781,0)+6,0)</f>
      </c>
    </row>
    <row r="610" spans="1:11" customHeight="1" ht="40">
      <c r="A610" s="13" t="str">
        <f>IF($J610=0,"",IFERROR(_xlfn.IMAGE(INDEX('Прайс и заказ'!$O:$O,$J610)),""))</f>
      </c>
      <c r="B610" s="61" t="str">
        <f>IF($J610=0,"",IF(INDEX('Прайс и заказ'!B:B,$J610)="","",INDEX('Прайс и заказ'!B:B,$J610)))</f>
      </c>
      <c r="C610" s="64" t="str">
        <f>IF($J610=0,"",IF(INDEX('Прайс и заказ'!C:C,$J610)="","",INDEX('Прайс и заказ'!C:C,$J610)))</f>
      </c>
      <c r="D610" s="64" t="str">
        <f>IF($J610=0,"",IF(INDEX('Прайс и заказ'!D:D,$J610)="","",INDEX('Прайс и заказ'!D:D,$J610)))</f>
      </c>
      <c r="E610" s="61" t="str">
        <f>IF($J610=0,"",IF(INDEX('Прайс и заказ'!F:F,$J610)="","",INDEX('Прайс и заказ'!F:F,$J610)))</f>
      </c>
      <c r="F610" s="62" t="str">
        <f>IF($J610=0,"",IF(INDEX('Прайс и заказ'!I:I,$J610)="","",INDEX('Прайс и заказ'!I:I,$J610)))</f>
      </c>
      <c r="G610" s="63" t="str">
        <f>IF($J610=0,"",IF(INDEX('Прайс и заказ'!K:K,$J610)="","",INDEX('Прайс и заказ'!K:K,$J610)))</f>
      </c>
      <c r="H610" s="62" t="str">
        <f>IF($J610=0,"",IF(INDEX('Прайс и заказ'!L:L,$J610)="","",INDEX('Прайс и заказ'!L:L,$J610)))</f>
      </c>
      <c r="I610" s="13" t="str">
        <f>IF($J610=0,"",IF(INDEX('Прайс и заказ'!M:M,$J610)="","",INDEX('Прайс и заказ'!M:M,$J610)))</f>
      </c>
      <c r="J610" t="str">
        <f>IFERROR(MATCH(602,'Прайс и заказ'!$N$7:$N$781,0)+6,0)</f>
      </c>
    </row>
    <row r="611" spans="1:11" customHeight="1" ht="40">
      <c r="A611" s="13" t="str">
        <f>IF($J611=0,"",IFERROR(_xlfn.IMAGE(INDEX('Прайс и заказ'!$O:$O,$J611)),""))</f>
      </c>
      <c r="B611" s="61" t="str">
        <f>IF($J611=0,"",IF(INDEX('Прайс и заказ'!B:B,$J611)="","",INDEX('Прайс и заказ'!B:B,$J611)))</f>
      </c>
      <c r="C611" s="64" t="str">
        <f>IF($J611=0,"",IF(INDEX('Прайс и заказ'!C:C,$J611)="","",INDEX('Прайс и заказ'!C:C,$J611)))</f>
      </c>
      <c r="D611" s="64" t="str">
        <f>IF($J611=0,"",IF(INDEX('Прайс и заказ'!D:D,$J611)="","",INDEX('Прайс и заказ'!D:D,$J611)))</f>
      </c>
      <c r="E611" s="61" t="str">
        <f>IF($J611=0,"",IF(INDEX('Прайс и заказ'!F:F,$J611)="","",INDEX('Прайс и заказ'!F:F,$J611)))</f>
      </c>
      <c r="F611" s="62" t="str">
        <f>IF($J611=0,"",IF(INDEX('Прайс и заказ'!I:I,$J611)="","",INDEX('Прайс и заказ'!I:I,$J611)))</f>
      </c>
      <c r="G611" s="63" t="str">
        <f>IF($J611=0,"",IF(INDEX('Прайс и заказ'!K:K,$J611)="","",INDEX('Прайс и заказ'!K:K,$J611)))</f>
      </c>
      <c r="H611" s="62" t="str">
        <f>IF($J611=0,"",IF(INDEX('Прайс и заказ'!L:L,$J611)="","",INDEX('Прайс и заказ'!L:L,$J611)))</f>
      </c>
      <c r="I611" s="13" t="str">
        <f>IF($J611=0,"",IF(INDEX('Прайс и заказ'!M:M,$J611)="","",INDEX('Прайс и заказ'!M:M,$J611)))</f>
      </c>
      <c r="J611" t="str">
        <f>IFERROR(MATCH(603,'Прайс и заказ'!$N$7:$N$781,0)+6,0)</f>
      </c>
    </row>
    <row r="612" spans="1:11" customHeight="1" ht="40">
      <c r="A612" s="13" t="str">
        <f>IF($J612=0,"",IFERROR(_xlfn.IMAGE(INDEX('Прайс и заказ'!$O:$O,$J612)),""))</f>
      </c>
      <c r="B612" s="61" t="str">
        <f>IF($J612=0,"",IF(INDEX('Прайс и заказ'!B:B,$J612)="","",INDEX('Прайс и заказ'!B:B,$J612)))</f>
      </c>
      <c r="C612" s="64" t="str">
        <f>IF($J612=0,"",IF(INDEX('Прайс и заказ'!C:C,$J612)="","",INDEX('Прайс и заказ'!C:C,$J612)))</f>
      </c>
      <c r="D612" s="64" t="str">
        <f>IF($J612=0,"",IF(INDEX('Прайс и заказ'!D:D,$J612)="","",INDEX('Прайс и заказ'!D:D,$J612)))</f>
      </c>
      <c r="E612" s="61" t="str">
        <f>IF($J612=0,"",IF(INDEX('Прайс и заказ'!F:F,$J612)="","",INDEX('Прайс и заказ'!F:F,$J612)))</f>
      </c>
      <c r="F612" s="62" t="str">
        <f>IF($J612=0,"",IF(INDEX('Прайс и заказ'!I:I,$J612)="","",INDEX('Прайс и заказ'!I:I,$J612)))</f>
      </c>
      <c r="G612" s="63" t="str">
        <f>IF($J612=0,"",IF(INDEX('Прайс и заказ'!K:K,$J612)="","",INDEX('Прайс и заказ'!K:K,$J612)))</f>
      </c>
      <c r="H612" s="62" t="str">
        <f>IF($J612=0,"",IF(INDEX('Прайс и заказ'!L:L,$J612)="","",INDEX('Прайс и заказ'!L:L,$J612)))</f>
      </c>
      <c r="I612" s="13" t="str">
        <f>IF($J612=0,"",IF(INDEX('Прайс и заказ'!M:M,$J612)="","",INDEX('Прайс и заказ'!M:M,$J612)))</f>
      </c>
      <c r="J612" t="str">
        <f>IFERROR(MATCH(604,'Прайс и заказ'!$N$7:$N$781,0)+6,0)</f>
      </c>
    </row>
    <row r="613" spans="1:11" customHeight="1" ht="40">
      <c r="A613" s="13" t="str">
        <f>IF($J613=0,"",IFERROR(_xlfn.IMAGE(INDEX('Прайс и заказ'!$O:$O,$J613)),""))</f>
      </c>
      <c r="B613" s="61" t="str">
        <f>IF($J613=0,"",IF(INDEX('Прайс и заказ'!B:B,$J613)="","",INDEX('Прайс и заказ'!B:B,$J613)))</f>
      </c>
      <c r="C613" s="64" t="str">
        <f>IF($J613=0,"",IF(INDEX('Прайс и заказ'!C:C,$J613)="","",INDEX('Прайс и заказ'!C:C,$J613)))</f>
      </c>
      <c r="D613" s="64" t="str">
        <f>IF($J613=0,"",IF(INDEX('Прайс и заказ'!D:D,$J613)="","",INDEX('Прайс и заказ'!D:D,$J613)))</f>
      </c>
      <c r="E613" s="61" t="str">
        <f>IF($J613=0,"",IF(INDEX('Прайс и заказ'!F:F,$J613)="","",INDEX('Прайс и заказ'!F:F,$J613)))</f>
      </c>
      <c r="F613" s="62" t="str">
        <f>IF($J613=0,"",IF(INDEX('Прайс и заказ'!I:I,$J613)="","",INDEX('Прайс и заказ'!I:I,$J613)))</f>
      </c>
      <c r="G613" s="63" t="str">
        <f>IF($J613=0,"",IF(INDEX('Прайс и заказ'!K:K,$J613)="","",INDEX('Прайс и заказ'!K:K,$J613)))</f>
      </c>
      <c r="H613" s="62" t="str">
        <f>IF($J613=0,"",IF(INDEX('Прайс и заказ'!L:L,$J613)="","",INDEX('Прайс и заказ'!L:L,$J613)))</f>
      </c>
      <c r="I613" s="13" t="str">
        <f>IF($J613=0,"",IF(INDEX('Прайс и заказ'!M:M,$J613)="","",INDEX('Прайс и заказ'!M:M,$J613)))</f>
      </c>
      <c r="J613" t="str">
        <f>IFERROR(MATCH(605,'Прайс и заказ'!$N$7:$N$781,0)+6,0)</f>
      </c>
    </row>
    <row r="614" spans="1:11" customHeight="1" ht="40">
      <c r="A614" s="13" t="str">
        <f>IF($J614=0,"",IFERROR(_xlfn.IMAGE(INDEX('Прайс и заказ'!$O:$O,$J614)),""))</f>
      </c>
      <c r="B614" s="61" t="str">
        <f>IF($J614=0,"",IF(INDEX('Прайс и заказ'!B:B,$J614)="","",INDEX('Прайс и заказ'!B:B,$J614)))</f>
      </c>
      <c r="C614" s="64" t="str">
        <f>IF($J614=0,"",IF(INDEX('Прайс и заказ'!C:C,$J614)="","",INDEX('Прайс и заказ'!C:C,$J614)))</f>
      </c>
      <c r="D614" s="64" t="str">
        <f>IF($J614=0,"",IF(INDEX('Прайс и заказ'!D:D,$J614)="","",INDEX('Прайс и заказ'!D:D,$J614)))</f>
      </c>
      <c r="E614" s="61" t="str">
        <f>IF($J614=0,"",IF(INDEX('Прайс и заказ'!F:F,$J614)="","",INDEX('Прайс и заказ'!F:F,$J614)))</f>
      </c>
      <c r="F614" s="62" t="str">
        <f>IF($J614=0,"",IF(INDEX('Прайс и заказ'!I:I,$J614)="","",INDEX('Прайс и заказ'!I:I,$J614)))</f>
      </c>
      <c r="G614" s="63" t="str">
        <f>IF($J614=0,"",IF(INDEX('Прайс и заказ'!K:K,$J614)="","",INDEX('Прайс и заказ'!K:K,$J614)))</f>
      </c>
      <c r="H614" s="62" t="str">
        <f>IF($J614=0,"",IF(INDEX('Прайс и заказ'!L:L,$J614)="","",INDEX('Прайс и заказ'!L:L,$J614)))</f>
      </c>
      <c r="I614" s="13" t="str">
        <f>IF($J614=0,"",IF(INDEX('Прайс и заказ'!M:M,$J614)="","",INDEX('Прайс и заказ'!M:M,$J614)))</f>
      </c>
      <c r="J614" t="str">
        <f>IFERROR(MATCH(606,'Прайс и заказ'!$N$7:$N$781,0)+6,0)</f>
      </c>
    </row>
    <row r="615" spans="1:11" customHeight="1" ht="40">
      <c r="A615" s="13" t="str">
        <f>IF($J615=0,"",IFERROR(_xlfn.IMAGE(INDEX('Прайс и заказ'!$O:$O,$J615)),""))</f>
      </c>
      <c r="B615" s="61" t="str">
        <f>IF($J615=0,"",IF(INDEX('Прайс и заказ'!B:B,$J615)="","",INDEX('Прайс и заказ'!B:B,$J615)))</f>
      </c>
      <c r="C615" s="64" t="str">
        <f>IF($J615=0,"",IF(INDEX('Прайс и заказ'!C:C,$J615)="","",INDEX('Прайс и заказ'!C:C,$J615)))</f>
      </c>
      <c r="D615" s="64" t="str">
        <f>IF($J615=0,"",IF(INDEX('Прайс и заказ'!D:D,$J615)="","",INDEX('Прайс и заказ'!D:D,$J615)))</f>
      </c>
      <c r="E615" s="61" t="str">
        <f>IF($J615=0,"",IF(INDEX('Прайс и заказ'!F:F,$J615)="","",INDEX('Прайс и заказ'!F:F,$J615)))</f>
      </c>
      <c r="F615" s="62" t="str">
        <f>IF($J615=0,"",IF(INDEX('Прайс и заказ'!I:I,$J615)="","",INDEX('Прайс и заказ'!I:I,$J615)))</f>
      </c>
      <c r="G615" s="63" t="str">
        <f>IF($J615=0,"",IF(INDEX('Прайс и заказ'!K:K,$J615)="","",INDEX('Прайс и заказ'!K:K,$J615)))</f>
      </c>
      <c r="H615" s="62" t="str">
        <f>IF($J615=0,"",IF(INDEX('Прайс и заказ'!L:L,$J615)="","",INDEX('Прайс и заказ'!L:L,$J615)))</f>
      </c>
      <c r="I615" s="13" t="str">
        <f>IF($J615=0,"",IF(INDEX('Прайс и заказ'!M:M,$J615)="","",INDEX('Прайс и заказ'!M:M,$J615)))</f>
      </c>
      <c r="J615" t="str">
        <f>IFERROR(MATCH(607,'Прайс и заказ'!$N$7:$N$781,0)+6,0)</f>
      </c>
    </row>
    <row r="616" spans="1:11" customHeight="1" ht="40">
      <c r="A616" s="13" t="str">
        <f>IF($J616=0,"",IFERROR(_xlfn.IMAGE(INDEX('Прайс и заказ'!$O:$O,$J616)),""))</f>
      </c>
      <c r="B616" s="61" t="str">
        <f>IF($J616=0,"",IF(INDEX('Прайс и заказ'!B:B,$J616)="","",INDEX('Прайс и заказ'!B:B,$J616)))</f>
      </c>
      <c r="C616" s="64" t="str">
        <f>IF($J616=0,"",IF(INDEX('Прайс и заказ'!C:C,$J616)="","",INDEX('Прайс и заказ'!C:C,$J616)))</f>
      </c>
      <c r="D616" s="64" t="str">
        <f>IF($J616=0,"",IF(INDEX('Прайс и заказ'!D:D,$J616)="","",INDEX('Прайс и заказ'!D:D,$J616)))</f>
      </c>
      <c r="E616" s="61" t="str">
        <f>IF($J616=0,"",IF(INDEX('Прайс и заказ'!F:F,$J616)="","",INDEX('Прайс и заказ'!F:F,$J616)))</f>
      </c>
      <c r="F616" s="62" t="str">
        <f>IF($J616=0,"",IF(INDEX('Прайс и заказ'!I:I,$J616)="","",INDEX('Прайс и заказ'!I:I,$J616)))</f>
      </c>
      <c r="G616" s="63" t="str">
        <f>IF($J616=0,"",IF(INDEX('Прайс и заказ'!K:K,$J616)="","",INDEX('Прайс и заказ'!K:K,$J616)))</f>
      </c>
      <c r="H616" s="62" t="str">
        <f>IF($J616=0,"",IF(INDEX('Прайс и заказ'!L:L,$J616)="","",INDEX('Прайс и заказ'!L:L,$J616)))</f>
      </c>
      <c r="I616" s="13" t="str">
        <f>IF($J616=0,"",IF(INDEX('Прайс и заказ'!M:M,$J616)="","",INDEX('Прайс и заказ'!M:M,$J616)))</f>
      </c>
      <c r="J616" t="str">
        <f>IFERROR(MATCH(608,'Прайс и заказ'!$N$7:$N$781,0)+6,0)</f>
      </c>
    </row>
    <row r="617" spans="1:11" customHeight="1" ht="40">
      <c r="A617" s="13" t="str">
        <f>IF($J617=0,"",IFERROR(_xlfn.IMAGE(INDEX('Прайс и заказ'!$O:$O,$J617)),""))</f>
      </c>
      <c r="B617" s="61" t="str">
        <f>IF($J617=0,"",IF(INDEX('Прайс и заказ'!B:B,$J617)="","",INDEX('Прайс и заказ'!B:B,$J617)))</f>
      </c>
      <c r="C617" s="64" t="str">
        <f>IF($J617=0,"",IF(INDEX('Прайс и заказ'!C:C,$J617)="","",INDEX('Прайс и заказ'!C:C,$J617)))</f>
      </c>
      <c r="D617" s="64" t="str">
        <f>IF($J617=0,"",IF(INDEX('Прайс и заказ'!D:D,$J617)="","",INDEX('Прайс и заказ'!D:D,$J617)))</f>
      </c>
      <c r="E617" s="61" t="str">
        <f>IF($J617=0,"",IF(INDEX('Прайс и заказ'!F:F,$J617)="","",INDEX('Прайс и заказ'!F:F,$J617)))</f>
      </c>
      <c r="F617" s="62" t="str">
        <f>IF($J617=0,"",IF(INDEX('Прайс и заказ'!I:I,$J617)="","",INDEX('Прайс и заказ'!I:I,$J617)))</f>
      </c>
      <c r="G617" s="63" t="str">
        <f>IF($J617=0,"",IF(INDEX('Прайс и заказ'!K:K,$J617)="","",INDEX('Прайс и заказ'!K:K,$J617)))</f>
      </c>
      <c r="H617" s="62" t="str">
        <f>IF($J617=0,"",IF(INDEX('Прайс и заказ'!L:L,$J617)="","",INDEX('Прайс и заказ'!L:L,$J617)))</f>
      </c>
      <c r="I617" s="13" t="str">
        <f>IF($J617=0,"",IF(INDEX('Прайс и заказ'!M:M,$J617)="","",INDEX('Прайс и заказ'!M:M,$J617)))</f>
      </c>
      <c r="J617" t="str">
        <f>IFERROR(MATCH(609,'Прайс и заказ'!$N$7:$N$781,0)+6,0)</f>
      </c>
    </row>
    <row r="618" spans="1:11" customHeight="1" ht="40">
      <c r="A618" s="13" t="str">
        <f>IF($J618=0,"",IFERROR(_xlfn.IMAGE(INDEX('Прайс и заказ'!$O:$O,$J618)),""))</f>
      </c>
      <c r="B618" s="61" t="str">
        <f>IF($J618=0,"",IF(INDEX('Прайс и заказ'!B:B,$J618)="","",INDEX('Прайс и заказ'!B:B,$J618)))</f>
      </c>
      <c r="C618" s="64" t="str">
        <f>IF($J618=0,"",IF(INDEX('Прайс и заказ'!C:C,$J618)="","",INDEX('Прайс и заказ'!C:C,$J618)))</f>
      </c>
      <c r="D618" s="64" t="str">
        <f>IF($J618=0,"",IF(INDEX('Прайс и заказ'!D:D,$J618)="","",INDEX('Прайс и заказ'!D:D,$J618)))</f>
      </c>
      <c r="E618" s="61" t="str">
        <f>IF($J618=0,"",IF(INDEX('Прайс и заказ'!F:F,$J618)="","",INDEX('Прайс и заказ'!F:F,$J618)))</f>
      </c>
      <c r="F618" s="62" t="str">
        <f>IF($J618=0,"",IF(INDEX('Прайс и заказ'!I:I,$J618)="","",INDEX('Прайс и заказ'!I:I,$J618)))</f>
      </c>
      <c r="G618" s="63" t="str">
        <f>IF($J618=0,"",IF(INDEX('Прайс и заказ'!K:K,$J618)="","",INDEX('Прайс и заказ'!K:K,$J618)))</f>
      </c>
      <c r="H618" s="62" t="str">
        <f>IF($J618=0,"",IF(INDEX('Прайс и заказ'!L:L,$J618)="","",INDEX('Прайс и заказ'!L:L,$J618)))</f>
      </c>
      <c r="I618" s="13" t="str">
        <f>IF($J618=0,"",IF(INDEX('Прайс и заказ'!M:M,$J618)="","",INDEX('Прайс и заказ'!M:M,$J618)))</f>
      </c>
      <c r="J618" t="str">
        <f>IFERROR(MATCH(610,'Прайс и заказ'!$N$7:$N$781,0)+6,0)</f>
      </c>
    </row>
    <row r="619" spans="1:11" customHeight="1" ht="40">
      <c r="A619" s="13" t="str">
        <f>IF($J619=0,"",IFERROR(_xlfn.IMAGE(INDEX('Прайс и заказ'!$O:$O,$J619)),""))</f>
      </c>
      <c r="B619" s="61" t="str">
        <f>IF($J619=0,"",IF(INDEX('Прайс и заказ'!B:B,$J619)="","",INDEX('Прайс и заказ'!B:B,$J619)))</f>
      </c>
      <c r="C619" s="64" t="str">
        <f>IF($J619=0,"",IF(INDEX('Прайс и заказ'!C:C,$J619)="","",INDEX('Прайс и заказ'!C:C,$J619)))</f>
      </c>
      <c r="D619" s="64" t="str">
        <f>IF($J619=0,"",IF(INDEX('Прайс и заказ'!D:D,$J619)="","",INDEX('Прайс и заказ'!D:D,$J619)))</f>
      </c>
      <c r="E619" s="61" t="str">
        <f>IF($J619=0,"",IF(INDEX('Прайс и заказ'!F:F,$J619)="","",INDEX('Прайс и заказ'!F:F,$J619)))</f>
      </c>
      <c r="F619" s="62" t="str">
        <f>IF($J619=0,"",IF(INDEX('Прайс и заказ'!I:I,$J619)="","",INDEX('Прайс и заказ'!I:I,$J619)))</f>
      </c>
      <c r="G619" s="63" t="str">
        <f>IF($J619=0,"",IF(INDEX('Прайс и заказ'!K:K,$J619)="","",INDEX('Прайс и заказ'!K:K,$J619)))</f>
      </c>
      <c r="H619" s="62" t="str">
        <f>IF($J619=0,"",IF(INDEX('Прайс и заказ'!L:L,$J619)="","",INDEX('Прайс и заказ'!L:L,$J619)))</f>
      </c>
      <c r="I619" s="13" t="str">
        <f>IF($J619=0,"",IF(INDEX('Прайс и заказ'!M:M,$J619)="","",INDEX('Прайс и заказ'!M:M,$J619)))</f>
      </c>
      <c r="J619" t="str">
        <f>IFERROR(MATCH(611,'Прайс и заказ'!$N$7:$N$781,0)+6,0)</f>
      </c>
    </row>
    <row r="620" spans="1:11" customHeight="1" ht="40">
      <c r="A620" s="13" t="str">
        <f>IF($J620=0,"",IFERROR(_xlfn.IMAGE(INDEX('Прайс и заказ'!$O:$O,$J620)),""))</f>
      </c>
      <c r="B620" s="61" t="str">
        <f>IF($J620=0,"",IF(INDEX('Прайс и заказ'!B:B,$J620)="","",INDEX('Прайс и заказ'!B:B,$J620)))</f>
      </c>
      <c r="C620" s="64" t="str">
        <f>IF($J620=0,"",IF(INDEX('Прайс и заказ'!C:C,$J620)="","",INDEX('Прайс и заказ'!C:C,$J620)))</f>
      </c>
      <c r="D620" s="64" t="str">
        <f>IF($J620=0,"",IF(INDEX('Прайс и заказ'!D:D,$J620)="","",INDEX('Прайс и заказ'!D:D,$J620)))</f>
      </c>
      <c r="E620" s="61" t="str">
        <f>IF($J620=0,"",IF(INDEX('Прайс и заказ'!F:F,$J620)="","",INDEX('Прайс и заказ'!F:F,$J620)))</f>
      </c>
      <c r="F620" s="62" t="str">
        <f>IF($J620=0,"",IF(INDEX('Прайс и заказ'!I:I,$J620)="","",INDEX('Прайс и заказ'!I:I,$J620)))</f>
      </c>
      <c r="G620" s="63" t="str">
        <f>IF($J620=0,"",IF(INDEX('Прайс и заказ'!K:K,$J620)="","",INDEX('Прайс и заказ'!K:K,$J620)))</f>
      </c>
      <c r="H620" s="62" t="str">
        <f>IF($J620=0,"",IF(INDEX('Прайс и заказ'!L:L,$J620)="","",INDEX('Прайс и заказ'!L:L,$J620)))</f>
      </c>
      <c r="I620" s="13" t="str">
        <f>IF($J620=0,"",IF(INDEX('Прайс и заказ'!M:M,$J620)="","",INDEX('Прайс и заказ'!M:M,$J620)))</f>
      </c>
      <c r="J620" t="str">
        <f>IFERROR(MATCH(612,'Прайс и заказ'!$N$7:$N$781,0)+6,0)</f>
      </c>
    </row>
    <row r="621" spans="1:11" customHeight="1" ht="40">
      <c r="A621" s="13" t="str">
        <f>IF($J621=0,"",IFERROR(_xlfn.IMAGE(INDEX('Прайс и заказ'!$O:$O,$J621)),""))</f>
      </c>
      <c r="B621" s="61" t="str">
        <f>IF($J621=0,"",IF(INDEX('Прайс и заказ'!B:B,$J621)="","",INDEX('Прайс и заказ'!B:B,$J621)))</f>
      </c>
      <c r="C621" s="64" t="str">
        <f>IF($J621=0,"",IF(INDEX('Прайс и заказ'!C:C,$J621)="","",INDEX('Прайс и заказ'!C:C,$J621)))</f>
      </c>
      <c r="D621" s="64" t="str">
        <f>IF($J621=0,"",IF(INDEX('Прайс и заказ'!D:D,$J621)="","",INDEX('Прайс и заказ'!D:D,$J621)))</f>
      </c>
      <c r="E621" s="61" t="str">
        <f>IF($J621=0,"",IF(INDEX('Прайс и заказ'!F:F,$J621)="","",INDEX('Прайс и заказ'!F:F,$J621)))</f>
      </c>
      <c r="F621" s="62" t="str">
        <f>IF($J621=0,"",IF(INDEX('Прайс и заказ'!I:I,$J621)="","",INDEX('Прайс и заказ'!I:I,$J621)))</f>
      </c>
      <c r="G621" s="63" t="str">
        <f>IF($J621=0,"",IF(INDEX('Прайс и заказ'!K:K,$J621)="","",INDEX('Прайс и заказ'!K:K,$J621)))</f>
      </c>
      <c r="H621" s="62" t="str">
        <f>IF($J621=0,"",IF(INDEX('Прайс и заказ'!L:L,$J621)="","",INDEX('Прайс и заказ'!L:L,$J621)))</f>
      </c>
      <c r="I621" s="13" t="str">
        <f>IF($J621=0,"",IF(INDEX('Прайс и заказ'!M:M,$J621)="","",INDEX('Прайс и заказ'!M:M,$J621)))</f>
      </c>
      <c r="J621" t="str">
        <f>IFERROR(MATCH(613,'Прайс и заказ'!$N$7:$N$781,0)+6,0)</f>
      </c>
    </row>
    <row r="622" spans="1:11" customHeight="1" ht="40">
      <c r="A622" s="13" t="str">
        <f>IF($J622=0,"",IFERROR(_xlfn.IMAGE(INDEX('Прайс и заказ'!$O:$O,$J622)),""))</f>
      </c>
      <c r="B622" s="61" t="str">
        <f>IF($J622=0,"",IF(INDEX('Прайс и заказ'!B:B,$J622)="","",INDEX('Прайс и заказ'!B:B,$J622)))</f>
      </c>
      <c r="C622" s="64" t="str">
        <f>IF($J622=0,"",IF(INDEX('Прайс и заказ'!C:C,$J622)="","",INDEX('Прайс и заказ'!C:C,$J622)))</f>
      </c>
      <c r="D622" s="64" t="str">
        <f>IF($J622=0,"",IF(INDEX('Прайс и заказ'!D:D,$J622)="","",INDEX('Прайс и заказ'!D:D,$J622)))</f>
      </c>
      <c r="E622" s="61" t="str">
        <f>IF($J622=0,"",IF(INDEX('Прайс и заказ'!F:F,$J622)="","",INDEX('Прайс и заказ'!F:F,$J622)))</f>
      </c>
      <c r="F622" s="62" t="str">
        <f>IF($J622=0,"",IF(INDEX('Прайс и заказ'!I:I,$J622)="","",INDEX('Прайс и заказ'!I:I,$J622)))</f>
      </c>
      <c r="G622" s="63" t="str">
        <f>IF($J622=0,"",IF(INDEX('Прайс и заказ'!K:K,$J622)="","",INDEX('Прайс и заказ'!K:K,$J622)))</f>
      </c>
      <c r="H622" s="62" t="str">
        <f>IF($J622=0,"",IF(INDEX('Прайс и заказ'!L:L,$J622)="","",INDEX('Прайс и заказ'!L:L,$J622)))</f>
      </c>
      <c r="I622" s="13" t="str">
        <f>IF($J622=0,"",IF(INDEX('Прайс и заказ'!M:M,$J622)="","",INDEX('Прайс и заказ'!M:M,$J622)))</f>
      </c>
      <c r="J622" t="str">
        <f>IFERROR(MATCH(614,'Прайс и заказ'!$N$7:$N$781,0)+6,0)</f>
      </c>
    </row>
    <row r="623" spans="1:11" customHeight="1" ht="40">
      <c r="A623" s="13" t="str">
        <f>IF($J623=0,"",IFERROR(_xlfn.IMAGE(INDEX('Прайс и заказ'!$O:$O,$J623)),""))</f>
      </c>
      <c r="B623" s="61" t="str">
        <f>IF($J623=0,"",IF(INDEX('Прайс и заказ'!B:B,$J623)="","",INDEX('Прайс и заказ'!B:B,$J623)))</f>
      </c>
      <c r="C623" s="64" t="str">
        <f>IF($J623=0,"",IF(INDEX('Прайс и заказ'!C:C,$J623)="","",INDEX('Прайс и заказ'!C:C,$J623)))</f>
      </c>
      <c r="D623" s="64" t="str">
        <f>IF($J623=0,"",IF(INDEX('Прайс и заказ'!D:D,$J623)="","",INDEX('Прайс и заказ'!D:D,$J623)))</f>
      </c>
      <c r="E623" s="61" t="str">
        <f>IF($J623=0,"",IF(INDEX('Прайс и заказ'!F:F,$J623)="","",INDEX('Прайс и заказ'!F:F,$J623)))</f>
      </c>
      <c r="F623" s="62" t="str">
        <f>IF($J623=0,"",IF(INDEX('Прайс и заказ'!I:I,$J623)="","",INDEX('Прайс и заказ'!I:I,$J623)))</f>
      </c>
      <c r="G623" s="63" t="str">
        <f>IF($J623=0,"",IF(INDEX('Прайс и заказ'!K:K,$J623)="","",INDEX('Прайс и заказ'!K:K,$J623)))</f>
      </c>
      <c r="H623" s="62" t="str">
        <f>IF($J623=0,"",IF(INDEX('Прайс и заказ'!L:L,$J623)="","",INDEX('Прайс и заказ'!L:L,$J623)))</f>
      </c>
      <c r="I623" s="13" t="str">
        <f>IF($J623=0,"",IF(INDEX('Прайс и заказ'!M:M,$J623)="","",INDEX('Прайс и заказ'!M:M,$J623)))</f>
      </c>
      <c r="J623" t="str">
        <f>IFERROR(MATCH(615,'Прайс и заказ'!$N$7:$N$781,0)+6,0)</f>
      </c>
    </row>
    <row r="624" spans="1:11" customHeight="1" ht="40">
      <c r="A624" s="13" t="str">
        <f>IF($J624=0,"",IFERROR(_xlfn.IMAGE(INDEX('Прайс и заказ'!$O:$O,$J624)),""))</f>
      </c>
      <c r="B624" s="61" t="str">
        <f>IF($J624=0,"",IF(INDEX('Прайс и заказ'!B:B,$J624)="","",INDEX('Прайс и заказ'!B:B,$J624)))</f>
      </c>
      <c r="C624" s="64" t="str">
        <f>IF($J624=0,"",IF(INDEX('Прайс и заказ'!C:C,$J624)="","",INDEX('Прайс и заказ'!C:C,$J624)))</f>
      </c>
      <c r="D624" s="64" t="str">
        <f>IF($J624=0,"",IF(INDEX('Прайс и заказ'!D:D,$J624)="","",INDEX('Прайс и заказ'!D:D,$J624)))</f>
      </c>
      <c r="E624" s="61" t="str">
        <f>IF($J624=0,"",IF(INDEX('Прайс и заказ'!F:F,$J624)="","",INDEX('Прайс и заказ'!F:F,$J624)))</f>
      </c>
      <c r="F624" s="62" t="str">
        <f>IF($J624=0,"",IF(INDEX('Прайс и заказ'!I:I,$J624)="","",INDEX('Прайс и заказ'!I:I,$J624)))</f>
      </c>
      <c r="G624" s="63" t="str">
        <f>IF($J624=0,"",IF(INDEX('Прайс и заказ'!K:K,$J624)="","",INDEX('Прайс и заказ'!K:K,$J624)))</f>
      </c>
      <c r="H624" s="62" t="str">
        <f>IF($J624=0,"",IF(INDEX('Прайс и заказ'!L:L,$J624)="","",INDEX('Прайс и заказ'!L:L,$J624)))</f>
      </c>
      <c r="I624" s="13" t="str">
        <f>IF($J624=0,"",IF(INDEX('Прайс и заказ'!M:M,$J624)="","",INDEX('Прайс и заказ'!M:M,$J624)))</f>
      </c>
      <c r="J624" t="str">
        <f>IFERROR(MATCH(616,'Прайс и заказ'!$N$7:$N$781,0)+6,0)</f>
      </c>
    </row>
    <row r="625" spans="1:11" customHeight="1" ht="40">
      <c r="A625" s="13" t="str">
        <f>IF($J625=0,"",IFERROR(_xlfn.IMAGE(INDEX('Прайс и заказ'!$O:$O,$J625)),""))</f>
      </c>
      <c r="B625" s="61" t="str">
        <f>IF($J625=0,"",IF(INDEX('Прайс и заказ'!B:B,$J625)="","",INDEX('Прайс и заказ'!B:B,$J625)))</f>
      </c>
      <c r="C625" s="64" t="str">
        <f>IF($J625=0,"",IF(INDEX('Прайс и заказ'!C:C,$J625)="","",INDEX('Прайс и заказ'!C:C,$J625)))</f>
      </c>
      <c r="D625" s="64" t="str">
        <f>IF($J625=0,"",IF(INDEX('Прайс и заказ'!D:D,$J625)="","",INDEX('Прайс и заказ'!D:D,$J625)))</f>
      </c>
      <c r="E625" s="61" t="str">
        <f>IF($J625=0,"",IF(INDEX('Прайс и заказ'!F:F,$J625)="","",INDEX('Прайс и заказ'!F:F,$J625)))</f>
      </c>
      <c r="F625" s="62" t="str">
        <f>IF($J625=0,"",IF(INDEX('Прайс и заказ'!I:I,$J625)="","",INDEX('Прайс и заказ'!I:I,$J625)))</f>
      </c>
      <c r="G625" s="63" t="str">
        <f>IF($J625=0,"",IF(INDEX('Прайс и заказ'!K:K,$J625)="","",INDEX('Прайс и заказ'!K:K,$J625)))</f>
      </c>
      <c r="H625" s="62" t="str">
        <f>IF($J625=0,"",IF(INDEX('Прайс и заказ'!L:L,$J625)="","",INDEX('Прайс и заказ'!L:L,$J625)))</f>
      </c>
      <c r="I625" s="13" t="str">
        <f>IF($J625=0,"",IF(INDEX('Прайс и заказ'!M:M,$J625)="","",INDEX('Прайс и заказ'!M:M,$J625)))</f>
      </c>
      <c r="J625" t="str">
        <f>IFERROR(MATCH(617,'Прайс и заказ'!$N$7:$N$781,0)+6,0)</f>
      </c>
    </row>
    <row r="626" spans="1:11" customHeight="1" ht="40">
      <c r="A626" s="13" t="str">
        <f>IF($J626=0,"",IFERROR(_xlfn.IMAGE(INDEX('Прайс и заказ'!$O:$O,$J626)),""))</f>
      </c>
      <c r="B626" s="61" t="str">
        <f>IF($J626=0,"",IF(INDEX('Прайс и заказ'!B:B,$J626)="","",INDEX('Прайс и заказ'!B:B,$J626)))</f>
      </c>
      <c r="C626" s="64" t="str">
        <f>IF($J626=0,"",IF(INDEX('Прайс и заказ'!C:C,$J626)="","",INDEX('Прайс и заказ'!C:C,$J626)))</f>
      </c>
      <c r="D626" s="64" t="str">
        <f>IF($J626=0,"",IF(INDEX('Прайс и заказ'!D:D,$J626)="","",INDEX('Прайс и заказ'!D:D,$J626)))</f>
      </c>
      <c r="E626" s="61" t="str">
        <f>IF($J626=0,"",IF(INDEX('Прайс и заказ'!F:F,$J626)="","",INDEX('Прайс и заказ'!F:F,$J626)))</f>
      </c>
      <c r="F626" s="62" t="str">
        <f>IF($J626=0,"",IF(INDEX('Прайс и заказ'!I:I,$J626)="","",INDEX('Прайс и заказ'!I:I,$J626)))</f>
      </c>
      <c r="G626" s="63" t="str">
        <f>IF($J626=0,"",IF(INDEX('Прайс и заказ'!K:K,$J626)="","",INDEX('Прайс и заказ'!K:K,$J626)))</f>
      </c>
      <c r="H626" s="62" t="str">
        <f>IF($J626=0,"",IF(INDEX('Прайс и заказ'!L:L,$J626)="","",INDEX('Прайс и заказ'!L:L,$J626)))</f>
      </c>
      <c r="I626" s="13" t="str">
        <f>IF($J626=0,"",IF(INDEX('Прайс и заказ'!M:M,$J626)="","",INDEX('Прайс и заказ'!M:M,$J626)))</f>
      </c>
      <c r="J626" t="str">
        <f>IFERROR(MATCH(618,'Прайс и заказ'!$N$7:$N$781,0)+6,0)</f>
      </c>
    </row>
    <row r="627" spans="1:11" customHeight="1" ht="40">
      <c r="A627" s="13" t="str">
        <f>IF($J627=0,"",IFERROR(_xlfn.IMAGE(INDEX('Прайс и заказ'!$O:$O,$J627)),""))</f>
      </c>
      <c r="B627" s="61" t="str">
        <f>IF($J627=0,"",IF(INDEX('Прайс и заказ'!B:B,$J627)="","",INDEX('Прайс и заказ'!B:B,$J627)))</f>
      </c>
      <c r="C627" s="64" t="str">
        <f>IF($J627=0,"",IF(INDEX('Прайс и заказ'!C:C,$J627)="","",INDEX('Прайс и заказ'!C:C,$J627)))</f>
      </c>
      <c r="D627" s="64" t="str">
        <f>IF($J627=0,"",IF(INDEX('Прайс и заказ'!D:D,$J627)="","",INDEX('Прайс и заказ'!D:D,$J627)))</f>
      </c>
      <c r="E627" s="61" t="str">
        <f>IF($J627=0,"",IF(INDEX('Прайс и заказ'!F:F,$J627)="","",INDEX('Прайс и заказ'!F:F,$J627)))</f>
      </c>
      <c r="F627" s="62" t="str">
        <f>IF($J627=0,"",IF(INDEX('Прайс и заказ'!I:I,$J627)="","",INDEX('Прайс и заказ'!I:I,$J627)))</f>
      </c>
      <c r="G627" s="63" t="str">
        <f>IF($J627=0,"",IF(INDEX('Прайс и заказ'!K:K,$J627)="","",INDEX('Прайс и заказ'!K:K,$J627)))</f>
      </c>
      <c r="H627" s="62" t="str">
        <f>IF($J627=0,"",IF(INDEX('Прайс и заказ'!L:L,$J627)="","",INDEX('Прайс и заказ'!L:L,$J627)))</f>
      </c>
      <c r="I627" s="13" t="str">
        <f>IF($J627=0,"",IF(INDEX('Прайс и заказ'!M:M,$J627)="","",INDEX('Прайс и заказ'!M:M,$J627)))</f>
      </c>
      <c r="J627" t="str">
        <f>IFERROR(MATCH(619,'Прайс и заказ'!$N$7:$N$781,0)+6,0)</f>
      </c>
    </row>
    <row r="628" spans="1:11" customHeight="1" ht="40">
      <c r="A628" s="13" t="str">
        <f>IF($J628=0,"",IFERROR(_xlfn.IMAGE(INDEX('Прайс и заказ'!$O:$O,$J628)),""))</f>
      </c>
      <c r="B628" s="61" t="str">
        <f>IF($J628=0,"",IF(INDEX('Прайс и заказ'!B:B,$J628)="","",INDEX('Прайс и заказ'!B:B,$J628)))</f>
      </c>
      <c r="C628" s="64" t="str">
        <f>IF($J628=0,"",IF(INDEX('Прайс и заказ'!C:C,$J628)="","",INDEX('Прайс и заказ'!C:C,$J628)))</f>
      </c>
      <c r="D628" s="64" t="str">
        <f>IF($J628=0,"",IF(INDEX('Прайс и заказ'!D:D,$J628)="","",INDEX('Прайс и заказ'!D:D,$J628)))</f>
      </c>
      <c r="E628" s="61" t="str">
        <f>IF($J628=0,"",IF(INDEX('Прайс и заказ'!F:F,$J628)="","",INDEX('Прайс и заказ'!F:F,$J628)))</f>
      </c>
      <c r="F628" s="62" t="str">
        <f>IF($J628=0,"",IF(INDEX('Прайс и заказ'!I:I,$J628)="","",INDEX('Прайс и заказ'!I:I,$J628)))</f>
      </c>
      <c r="G628" s="63" t="str">
        <f>IF($J628=0,"",IF(INDEX('Прайс и заказ'!K:K,$J628)="","",INDEX('Прайс и заказ'!K:K,$J628)))</f>
      </c>
      <c r="H628" s="62" t="str">
        <f>IF($J628=0,"",IF(INDEX('Прайс и заказ'!L:L,$J628)="","",INDEX('Прайс и заказ'!L:L,$J628)))</f>
      </c>
      <c r="I628" s="13" t="str">
        <f>IF($J628=0,"",IF(INDEX('Прайс и заказ'!M:M,$J628)="","",INDEX('Прайс и заказ'!M:M,$J628)))</f>
      </c>
      <c r="J628" t="str">
        <f>IFERROR(MATCH(620,'Прайс и заказ'!$N$7:$N$781,0)+6,0)</f>
      </c>
    </row>
    <row r="629" spans="1:11" customHeight="1" ht="40">
      <c r="A629" s="13" t="str">
        <f>IF($J629=0,"",IFERROR(_xlfn.IMAGE(INDEX('Прайс и заказ'!$O:$O,$J629)),""))</f>
      </c>
      <c r="B629" s="61" t="str">
        <f>IF($J629=0,"",IF(INDEX('Прайс и заказ'!B:B,$J629)="","",INDEX('Прайс и заказ'!B:B,$J629)))</f>
      </c>
      <c r="C629" s="64" t="str">
        <f>IF($J629=0,"",IF(INDEX('Прайс и заказ'!C:C,$J629)="","",INDEX('Прайс и заказ'!C:C,$J629)))</f>
      </c>
      <c r="D629" s="64" t="str">
        <f>IF($J629=0,"",IF(INDEX('Прайс и заказ'!D:D,$J629)="","",INDEX('Прайс и заказ'!D:D,$J629)))</f>
      </c>
      <c r="E629" s="61" t="str">
        <f>IF($J629=0,"",IF(INDEX('Прайс и заказ'!F:F,$J629)="","",INDEX('Прайс и заказ'!F:F,$J629)))</f>
      </c>
      <c r="F629" s="62" t="str">
        <f>IF($J629=0,"",IF(INDEX('Прайс и заказ'!I:I,$J629)="","",INDEX('Прайс и заказ'!I:I,$J629)))</f>
      </c>
      <c r="G629" s="63" t="str">
        <f>IF($J629=0,"",IF(INDEX('Прайс и заказ'!K:K,$J629)="","",INDEX('Прайс и заказ'!K:K,$J629)))</f>
      </c>
      <c r="H629" s="62" t="str">
        <f>IF($J629=0,"",IF(INDEX('Прайс и заказ'!L:L,$J629)="","",INDEX('Прайс и заказ'!L:L,$J629)))</f>
      </c>
      <c r="I629" s="13" t="str">
        <f>IF($J629=0,"",IF(INDEX('Прайс и заказ'!M:M,$J629)="","",INDEX('Прайс и заказ'!M:M,$J629)))</f>
      </c>
      <c r="J629" t="str">
        <f>IFERROR(MATCH(621,'Прайс и заказ'!$N$7:$N$781,0)+6,0)</f>
      </c>
    </row>
    <row r="630" spans="1:11" customHeight="1" ht="40">
      <c r="A630" s="13" t="str">
        <f>IF($J630=0,"",IFERROR(_xlfn.IMAGE(INDEX('Прайс и заказ'!$O:$O,$J630)),""))</f>
      </c>
      <c r="B630" s="61" t="str">
        <f>IF($J630=0,"",IF(INDEX('Прайс и заказ'!B:B,$J630)="","",INDEX('Прайс и заказ'!B:B,$J630)))</f>
      </c>
      <c r="C630" s="64" t="str">
        <f>IF($J630=0,"",IF(INDEX('Прайс и заказ'!C:C,$J630)="","",INDEX('Прайс и заказ'!C:C,$J630)))</f>
      </c>
      <c r="D630" s="64" t="str">
        <f>IF($J630=0,"",IF(INDEX('Прайс и заказ'!D:D,$J630)="","",INDEX('Прайс и заказ'!D:D,$J630)))</f>
      </c>
      <c r="E630" s="61" t="str">
        <f>IF($J630=0,"",IF(INDEX('Прайс и заказ'!F:F,$J630)="","",INDEX('Прайс и заказ'!F:F,$J630)))</f>
      </c>
      <c r="F630" s="62" t="str">
        <f>IF($J630=0,"",IF(INDEX('Прайс и заказ'!I:I,$J630)="","",INDEX('Прайс и заказ'!I:I,$J630)))</f>
      </c>
      <c r="G630" s="63" t="str">
        <f>IF($J630=0,"",IF(INDEX('Прайс и заказ'!K:K,$J630)="","",INDEX('Прайс и заказ'!K:K,$J630)))</f>
      </c>
      <c r="H630" s="62" t="str">
        <f>IF($J630=0,"",IF(INDEX('Прайс и заказ'!L:L,$J630)="","",INDEX('Прайс и заказ'!L:L,$J630)))</f>
      </c>
      <c r="I630" s="13" t="str">
        <f>IF($J630=0,"",IF(INDEX('Прайс и заказ'!M:M,$J630)="","",INDEX('Прайс и заказ'!M:M,$J630)))</f>
      </c>
      <c r="J630" t="str">
        <f>IFERROR(MATCH(622,'Прайс и заказ'!$N$7:$N$781,0)+6,0)</f>
      </c>
    </row>
    <row r="631" spans="1:11" customHeight="1" ht="40">
      <c r="A631" s="13" t="str">
        <f>IF($J631=0,"",IFERROR(_xlfn.IMAGE(INDEX('Прайс и заказ'!$O:$O,$J631)),""))</f>
      </c>
      <c r="B631" s="61" t="str">
        <f>IF($J631=0,"",IF(INDEX('Прайс и заказ'!B:B,$J631)="","",INDEX('Прайс и заказ'!B:B,$J631)))</f>
      </c>
      <c r="C631" s="64" t="str">
        <f>IF($J631=0,"",IF(INDEX('Прайс и заказ'!C:C,$J631)="","",INDEX('Прайс и заказ'!C:C,$J631)))</f>
      </c>
      <c r="D631" s="64" t="str">
        <f>IF($J631=0,"",IF(INDEX('Прайс и заказ'!D:D,$J631)="","",INDEX('Прайс и заказ'!D:D,$J631)))</f>
      </c>
      <c r="E631" s="61" t="str">
        <f>IF($J631=0,"",IF(INDEX('Прайс и заказ'!F:F,$J631)="","",INDEX('Прайс и заказ'!F:F,$J631)))</f>
      </c>
      <c r="F631" s="62" t="str">
        <f>IF($J631=0,"",IF(INDEX('Прайс и заказ'!I:I,$J631)="","",INDEX('Прайс и заказ'!I:I,$J631)))</f>
      </c>
      <c r="G631" s="63" t="str">
        <f>IF($J631=0,"",IF(INDEX('Прайс и заказ'!K:K,$J631)="","",INDEX('Прайс и заказ'!K:K,$J631)))</f>
      </c>
      <c r="H631" s="62" t="str">
        <f>IF($J631=0,"",IF(INDEX('Прайс и заказ'!L:L,$J631)="","",INDEX('Прайс и заказ'!L:L,$J631)))</f>
      </c>
      <c r="I631" s="13" t="str">
        <f>IF($J631=0,"",IF(INDEX('Прайс и заказ'!M:M,$J631)="","",INDEX('Прайс и заказ'!M:M,$J631)))</f>
      </c>
      <c r="J631" t="str">
        <f>IFERROR(MATCH(623,'Прайс и заказ'!$N$7:$N$781,0)+6,0)</f>
      </c>
    </row>
    <row r="632" spans="1:11" customHeight="1" ht="40">
      <c r="A632" s="13" t="str">
        <f>IF($J632=0,"",IFERROR(_xlfn.IMAGE(INDEX('Прайс и заказ'!$O:$O,$J632)),""))</f>
      </c>
      <c r="B632" s="61" t="str">
        <f>IF($J632=0,"",IF(INDEX('Прайс и заказ'!B:B,$J632)="","",INDEX('Прайс и заказ'!B:B,$J632)))</f>
      </c>
      <c r="C632" s="64" t="str">
        <f>IF($J632=0,"",IF(INDEX('Прайс и заказ'!C:C,$J632)="","",INDEX('Прайс и заказ'!C:C,$J632)))</f>
      </c>
      <c r="D632" s="64" t="str">
        <f>IF($J632=0,"",IF(INDEX('Прайс и заказ'!D:D,$J632)="","",INDEX('Прайс и заказ'!D:D,$J632)))</f>
      </c>
      <c r="E632" s="61" t="str">
        <f>IF($J632=0,"",IF(INDEX('Прайс и заказ'!F:F,$J632)="","",INDEX('Прайс и заказ'!F:F,$J632)))</f>
      </c>
      <c r="F632" s="62" t="str">
        <f>IF($J632=0,"",IF(INDEX('Прайс и заказ'!I:I,$J632)="","",INDEX('Прайс и заказ'!I:I,$J632)))</f>
      </c>
      <c r="G632" s="63" t="str">
        <f>IF($J632=0,"",IF(INDEX('Прайс и заказ'!K:K,$J632)="","",INDEX('Прайс и заказ'!K:K,$J632)))</f>
      </c>
      <c r="H632" s="62" t="str">
        <f>IF($J632=0,"",IF(INDEX('Прайс и заказ'!L:L,$J632)="","",INDEX('Прайс и заказ'!L:L,$J632)))</f>
      </c>
      <c r="I632" s="13" t="str">
        <f>IF($J632=0,"",IF(INDEX('Прайс и заказ'!M:M,$J632)="","",INDEX('Прайс и заказ'!M:M,$J632)))</f>
      </c>
      <c r="J632" t="str">
        <f>IFERROR(MATCH(624,'Прайс и заказ'!$N$7:$N$781,0)+6,0)</f>
      </c>
    </row>
    <row r="633" spans="1:11" customHeight="1" ht="40">
      <c r="A633" s="13" t="str">
        <f>IF($J633=0,"",IFERROR(_xlfn.IMAGE(INDEX('Прайс и заказ'!$O:$O,$J633)),""))</f>
      </c>
      <c r="B633" s="61" t="str">
        <f>IF($J633=0,"",IF(INDEX('Прайс и заказ'!B:B,$J633)="","",INDEX('Прайс и заказ'!B:B,$J633)))</f>
      </c>
      <c r="C633" s="64" t="str">
        <f>IF($J633=0,"",IF(INDEX('Прайс и заказ'!C:C,$J633)="","",INDEX('Прайс и заказ'!C:C,$J633)))</f>
      </c>
      <c r="D633" s="64" t="str">
        <f>IF($J633=0,"",IF(INDEX('Прайс и заказ'!D:D,$J633)="","",INDEX('Прайс и заказ'!D:D,$J633)))</f>
      </c>
      <c r="E633" s="61" t="str">
        <f>IF($J633=0,"",IF(INDEX('Прайс и заказ'!F:F,$J633)="","",INDEX('Прайс и заказ'!F:F,$J633)))</f>
      </c>
      <c r="F633" s="62" t="str">
        <f>IF($J633=0,"",IF(INDEX('Прайс и заказ'!I:I,$J633)="","",INDEX('Прайс и заказ'!I:I,$J633)))</f>
      </c>
      <c r="G633" s="63" t="str">
        <f>IF($J633=0,"",IF(INDEX('Прайс и заказ'!K:K,$J633)="","",INDEX('Прайс и заказ'!K:K,$J633)))</f>
      </c>
      <c r="H633" s="62" t="str">
        <f>IF($J633=0,"",IF(INDEX('Прайс и заказ'!L:L,$J633)="","",INDEX('Прайс и заказ'!L:L,$J633)))</f>
      </c>
      <c r="I633" s="13" t="str">
        <f>IF($J633=0,"",IF(INDEX('Прайс и заказ'!M:M,$J633)="","",INDEX('Прайс и заказ'!M:M,$J633)))</f>
      </c>
      <c r="J633" t="str">
        <f>IFERROR(MATCH(625,'Прайс и заказ'!$N$7:$N$781,0)+6,0)</f>
      </c>
    </row>
    <row r="634" spans="1:11" customHeight="1" ht="40">
      <c r="A634" s="13" t="str">
        <f>IF($J634=0,"",IFERROR(_xlfn.IMAGE(INDEX('Прайс и заказ'!$O:$O,$J634)),""))</f>
      </c>
      <c r="B634" s="61" t="str">
        <f>IF($J634=0,"",IF(INDEX('Прайс и заказ'!B:B,$J634)="","",INDEX('Прайс и заказ'!B:B,$J634)))</f>
      </c>
      <c r="C634" s="64" t="str">
        <f>IF($J634=0,"",IF(INDEX('Прайс и заказ'!C:C,$J634)="","",INDEX('Прайс и заказ'!C:C,$J634)))</f>
      </c>
      <c r="D634" s="64" t="str">
        <f>IF($J634=0,"",IF(INDEX('Прайс и заказ'!D:D,$J634)="","",INDEX('Прайс и заказ'!D:D,$J634)))</f>
      </c>
      <c r="E634" s="61" t="str">
        <f>IF($J634=0,"",IF(INDEX('Прайс и заказ'!F:F,$J634)="","",INDEX('Прайс и заказ'!F:F,$J634)))</f>
      </c>
      <c r="F634" s="62" t="str">
        <f>IF($J634=0,"",IF(INDEX('Прайс и заказ'!I:I,$J634)="","",INDEX('Прайс и заказ'!I:I,$J634)))</f>
      </c>
      <c r="G634" s="63" t="str">
        <f>IF($J634=0,"",IF(INDEX('Прайс и заказ'!K:K,$J634)="","",INDEX('Прайс и заказ'!K:K,$J634)))</f>
      </c>
      <c r="H634" s="62" t="str">
        <f>IF($J634=0,"",IF(INDEX('Прайс и заказ'!L:L,$J634)="","",INDEX('Прайс и заказ'!L:L,$J634)))</f>
      </c>
      <c r="I634" s="13" t="str">
        <f>IF($J634=0,"",IF(INDEX('Прайс и заказ'!M:M,$J634)="","",INDEX('Прайс и заказ'!M:M,$J634)))</f>
      </c>
      <c r="J634" t="str">
        <f>IFERROR(MATCH(626,'Прайс и заказ'!$N$7:$N$781,0)+6,0)</f>
      </c>
    </row>
    <row r="635" spans="1:11" customHeight="1" ht="40">
      <c r="A635" s="13" t="str">
        <f>IF($J635=0,"",IFERROR(_xlfn.IMAGE(INDEX('Прайс и заказ'!$O:$O,$J635)),""))</f>
      </c>
      <c r="B635" s="61" t="str">
        <f>IF($J635=0,"",IF(INDEX('Прайс и заказ'!B:B,$J635)="","",INDEX('Прайс и заказ'!B:B,$J635)))</f>
      </c>
      <c r="C635" s="64" t="str">
        <f>IF($J635=0,"",IF(INDEX('Прайс и заказ'!C:C,$J635)="","",INDEX('Прайс и заказ'!C:C,$J635)))</f>
      </c>
      <c r="D635" s="64" t="str">
        <f>IF($J635=0,"",IF(INDEX('Прайс и заказ'!D:D,$J635)="","",INDEX('Прайс и заказ'!D:D,$J635)))</f>
      </c>
      <c r="E635" s="61" t="str">
        <f>IF($J635=0,"",IF(INDEX('Прайс и заказ'!F:F,$J635)="","",INDEX('Прайс и заказ'!F:F,$J635)))</f>
      </c>
      <c r="F635" s="62" t="str">
        <f>IF($J635=0,"",IF(INDEX('Прайс и заказ'!I:I,$J635)="","",INDEX('Прайс и заказ'!I:I,$J635)))</f>
      </c>
      <c r="G635" s="63" t="str">
        <f>IF($J635=0,"",IF(INDEX('Прайс и заказ'!K:K,$J635)="","",INDEX('Прайс и заказ'!K:K,$J635)))</f>
      </c>
      <c r="H635" s="62" t="str">
        <f>IF($J635=0,"",IF(INDEX('Прайс и заказ'!L:L,$J635)="","",INDEX('Прайс и заказ'!L:L,$J635)))</f>
      </c>
      <c r="I635" s="13" t="str">
        <f>IF($J635=0,"",IF(INDEX('Прайс и заказ'!M:M,$J635)="","",INDEX('Прайс и заказ'!M:M,$J635)))</f>
      </c>
      <c r="J635" t="str">
        <f>IFERROR(MATCH(627,'Прайс и заказ'!$N$7:$N$781,0)+6,0)</f>
      </c>
    </row>
    <row r="636" spans="1:11" customHeight="1" ht="40">
      <c r="A636" s="13" t="str">
        <f>IF($J636=0,"",IFERROR(_xlfn.IMAGE(INDEX('Прайс и заказ'!$O:$O,$J636)),""))</f>
      </c>
      <c r="B636" s="61" t="str">
        <f>IF($J636=0,"",IF(INDEX('Прайс и заказ'!B:B,$J636)="","",INDEX('Прайс и заказ'!B:B,$J636)))</f>
      </c>
      <c r="C636" s="64" t="str">
        <f>IF($J636=0,"",IF(INDEX('Прайс и заказ'!C:C,$J636)="","",INDEX('Прайс и заказ'!C:C,$J636)))</f>
      </c>
      <c r="D636" s="64" t="str">
        <f>IF($J636=0,"",IF(INDEX('Прайс и заказ'!D:D,$J636)="","",INDEX('Прайс и заказ'!D:D,$J636)))</f>
      </c>
      <c r="E636" s="61" t="str">
        <f>IF($J636=0,"",IF(INDEX('Прайс и заказ'!F:F,$J636)="","",INDEX('Прайс и заказ'!F:F,$J636)))</f>
      </c>
      <c r="F636" s="62" t="str">
        <f>IF($J636=0,"",IF(INDEX('Прайс и заказ'!I:I,$J636)="","",INDEX('Прайс и заказ'!I:I,$J636)))</f>
      </c>
      <c r="G636" s="63" t="str">
        <f>IF($J636=0,"",IF(INDEX('Прайс и заказ'!K:K,$J636)="","",INDEX('Прайс и заказ'!K:K,$J636)))</f>
      </c>
      <c r="H636" s="62" t="str">
        <f>IF($J636=0,"",IF(INDEX('Прайс и заказ'!L:L,$J636)="","",INDEX('Прайс и заказ'!L:L,$J636)))</f>
      </c>
      <c r="I636" s="13" t="str">
        <f>IF($J636=0,"",IF(INDEX('Прайс и заказ'!M:M,$J636)="","",INDEX('Прайс и заказ'!M:M,$J636)))</f>
      </c>
      <c r="J636" t="str">
        <f>IFERROR(MATCH(628,'Прайс и заказ'!$N$7:$N$781,0)+6,0)</f>
      </c>
    </row>
    <row r="637" spans="1:11" customHeight="1" ht="40">
      <c r="A637" s="13" t="str">
        <f>IF($J637=0,"",IFERROR(_xlfn.IMAGE(INDEX('Прайс и заказ'!$O:$O,$J637)),""))</f>
      </c>
      <c r="B637" s="61" t="str">
        <f>IF($J637=0,"",IF(INDEX('Прайс и заказ'!B:B,$J637)="","",INDEX('Прайс и заказ'!B:B,$J637)))</f>
      </c>
      <c r="C637" s="64" t="str">
        <f>IF($J637=0,"",IF(INDEX('Прайс и заказ'!C:C,$J637)="","",INDEX('Прайс и заказ'!C:C,$J637)))</f>
      </c>
      <c r="D637" s="64" t="str">
        <f>IF($J637=0,"",IF(INDEX('Прайс и заказ'!D:D,$J637)="","",INDEX('Прайс и заказ'!D:D,$J637)))</f>
      </c>
      <c r="E637" s="61" t="str">
        <f>IF($J637=0,"",IF(INDEX('Прайс и заказ'!F:F,$J637)="","",INDEX('Прайс и заказ'!F:F,$J637)))</f>
      </c>
      <c r="F637" s="62" t="str">
        <f>IF($J637=0,"",IF(INDEX('Прайс и заказ'!I:I,$J637)="","",INDEX('Прайс и заказ'!I:I,$J637)))</f>
      </c>
      <c r="G637" s="63" t="str">
        <f>IF($J637=0,"",IF(INDEX('Прайс и заказ'!K:K,$J637)="","",INDEX('Прайс и заказ'!K:K,$J637)))</f>
      </c>
      <c r="H637" s="62" t="str">
        <f>IF($J637=0,"",IF(INDEX('Прайс и заказ'!L:L,$J637)="","",INDEX('Прайс и заказ'!L:L,$J637)))</f>
      </c>
      <c r="I637" s="13" t="str">
        <f>IF($J637=0,"",IF(INDEX('Прайс и заказ'!M:M,$J637)="","",INDEX('Прайс и заказ'!M:M,$J637)))</f>
      </c>
      <c r="J637" t="str">
        <f>IFERROR(MATCH(629,'Прайс и заказ'!$N$7:$N$781,0)+6,0)</f>
      </c>
    </row>
    <row r="638" spans="1:11" customHeight="1" ht="40">
      <c r="A638" s="13" t="str">
        <f>IF($J638=0,"",IFERROR(_xlfn.IMAGE(INDEX('Прайс и заказ'!$O:$O,$J638)),""))</f>
      </c>
      <c r="B638" s="61" t="str">
        <f>IF($J638=0,"",IF(INDEX('Прайс и заказ'!B:B,$J638)="","",INDEX('Прайс и заказ'!B:B,$J638)))</f>
      </c>
      <c r="C638" s="64" t="str">
        <f>IF($J638=0,"",IF(INDEX('Прайс и заказ'!C:C,$J638)="","",INDEX('Прайс и заказ'!C:C,$J638)))</f>
      </c>
      <c r="D638" s="64" t="str">
        <f>IF($J638=0,"",IF(INDEX('Прайс и заказ'!D:D,$J638)="","",INDEX('Прайс и заказ'!D:D,$J638)))</f>
      </c>
      <c r="E638" s="61" t="str">
        <f>IF($J638=0,"",IF(INDEX('Прайс и заказ'!F:F,$J638)="","",INDEX('Прайс и заказ'!F:F,$J638)))</f>
      </c>
      <c r="F638" s="62" t="str">
        <f>IF($J638=0,"",IF(INDEX('Прайс и заказ'!I:I,$J638)="","",INDEX('Прайс и заказ'!I:I,$J638)))</f>
      </c>
      <c r="G638" s="63" t="str">
        <f>IF($J638=0,"",IF(INDEX('Прайс и заказ'!K:K,$J638)="","",INDEX('Прайс и заказ'!K:K,$J638)))</f>
      </c>
      <c r="H638" s="62" t="str">
        <f>IF($J638=0,"",IF(INDEX('Прайс и заказ'!L:L,$J638)="","",INDEX('Прайс и заказ'!L:L,$J638)))</f>
      </c>
      <c r="I638" s="13" t="str">
        <f>IF($J638=0,"",IF(INDEX('Прайс и заказ'!M:M,$J638)="","",INDEX('Прайс и заказ'!M:M,$J638)))</f>
      </c>
      <c r="J638" t="str">
        <f>IFERROR(MATCH(630,'Прайс и заказ'!$N$7:$N$781,0)+6,0)</f>
      </c>
    </row>
    <row r="639" spans="1:11" customHeight="1" ht="40">
      <c r="A639" s="13" t="str">
        <f>IF($J639=0,"",IFERROR(_xlfn.IMAGE(INDEX('Прайс и заказ'!$O:$O,$J639)),""))</f>
      </c>
      <c r="B639" s="61" t="str">
        <f>IF($J639=0,"",IF(INDEX('Прайс и заказ'!B:B,$J639)="","",INDEX('Прайс и заказ'!B:B,$J639)))</f>
      </c>
      <c r="C639" s="64" t="str">
        <f>IF($J639=0,"",IF(INDEX('Прайс и заказ'!C:C,$J639)="","",INDEX('Прайс и заказ'!C:C,$J639)))</f>
      </c>
      <c r="D639" s="64" t="str">
        <f>IF($J639=0,"",IF(INDEX('Прайс и заказ'!D:D,$J639)="","",INDEX('Прайс и заказ'!D:D,$J639)))</f>
      </c>
      <c r="E639" s="61" t="str">
        <f>IF($J639=0,"",IF(INDEX('Прайс и заказ'!F:F,$J639)="","",INDEX('Прайс и заказ'!F:F,$J639)))</f>
      </c>
      <c r="F639" s="62" t="str">
        <f>IF($J639=0,"",IF(INDEX('Прайс и заказ'!I:I,$J639)="","",INDEX('Прайс и заказ'!I:I,$J639)))</f>
      </c>
      <c r="G639" s="63" t="str">
        <f>IF($J639=0,"",IF(INDEX('Прайс и заказ'!K:K,$J639)="","",INDEX('Прайс и заказ'!K:K,$J639)))</f>
      </c>
      <c r="H639" s="62" t="str">
        <f>IF($J639=0,"",IF(INDEX('Прайс и заказ'!L:L,$J639)="","",INDEX('Прайс и заказ'!L:L,$J639)))</f>
      </c>
      <c r="I639" s="13" t="str">
        <f>IF($J639=0,"",IF(INDEX('Прайс и заказ'!M:M,$J639)="","",INDEX('Прайс и заказ'!M:M,$J639)))</f>
      </c>
      <c r="J639" t="str">
        <f>IFERROR(MATCH(631,'Прайс и заказ'!$N$7:$N$781,0)+6,0)</f>
      </c>
    </row>
    <row r="640" spans="1:11" customHeight="1" ht="40">
      <c r="A640" s="13" t="str">
        <f>IF($J640=0,"",IFERROR(_xlfn.IMAGE(INDEX('Прайс и заказ'!$O:$O,$J640)),""))</f>
      </c>
      <c r="B640" s="61" t="str">
        <f>IF($J640=0,"",IF(INDEX('Прайс и заказ'!B:B,$J640)="","",INDEX('Прайс и заказ'!B:B,$J640)))</f>
      </c>
      <c r="C640" s="64" t="str">
        <f>IF($J640=0,"",IF(INDEX('Прайс и заказ'!C:C,$J640)="","",INDEX('Прайс и заказ'!C:C,$J640)))</f>
      </c>
      <c r="D640" s="64" t="str">
        <f>IF($J640=0,"",IF(INDEX('Прайс и заказ'!D:D,$J640)="","",INDEX('Прайс и заказ'!D:D,$J640)))</f>
      </c>
      <c r="E640" s="61" t="str">
        <f>IF($J640=0,"",IF(INDEX('Прайс и заказ'!F:F,$J640)="","",INDEX('Прайс и заказ'!F:F,$J640)))</f>
      </c>
      <c r="F640" s="62" t="str">
        <f>IF($J640=0,"",IF(INDEX('Прайс и заказ'!I:I,$J640)="","",INDEX('Прайс и заказ'!I:I,$J640)))</f>
      </c>
      <c r="G640" s="63" t="str">
        <f>IF($J640=0,"",IF(INDEX('Прайс и заказ'!K:K,$J640)="","",INDEX('Прайс и заказ'!K:K,$J640)))</f>
      </c>
      <c r="H640" s="62" t="str">
        <f>IF($J640=0,"",IF(INDEX('Прайс и заказ'!L:L,$J640)="","",INDEX('Прайс и заказ'!L:L,$J640)))</f>
      </c>
      <c r="I640" s="13" t="str">
        <f>IF($J640=0,"",IF(INDEX('Прайс и заказ'!M:M,$J640)="","",INDEX('Прайс и заказ'!M:M,$J640)))</f>
      </c>
      <c r="J640" t="str">
        <f>IFERROR(MATCH(632,'Прайс и заказ'!$N$7:$N$781,0)+6,0)</f>
      </c>
    </row>
    <row r="641" spans="1:11" customHeight="1" ht="40">
      <c r="A641" s="13" t="str">
        <f>IF($J641=0,"",IFERROR(_xlfn.IMAGE(INDEX('Прайс и заказ'!$O:$O,$J641)),""))</f>
      </c>
      <c r="B641" s="61" t="str">
        <f>IF($J641=0,"",IF(INDEX('Прайс и заказ'!B:B,$J641)="","",INDEX('Прайс и заказ'!B:B,$J641)))</f>
      </c>
      <c r="C641" s="64" t="str">
        <f>IF($J641=0,"",IF(INDEX('Прайс и заказ'!C:C,$J641)="","",INDEX('Прайс и заказ'!C:C,$J641)))</f>
      </c>
      <c r="D641" s="64" t="str">
        <f>IF($J641=0,"",IF(INDEX('Прайс и заказ'!D:D,$J641)="","",INDEX('Прайс и заказ'!D:D,$J641)))</f>
      </c>
      <c r="E641" s="61" t="str">
        <f>IF($J641=0,"",IF(INDEX('Прайс и заказ'!F:F,$J641)="","",INDEX('Прайс и заказ'!F:F,$J641)))</f>
      </c>
      <c r="F641" s="62" t="str">
        <f>IF($J641=0,"",IF(INDEX('Прайс и заказ'!I:I,$J641)="","",INDEX('Прайс и заказ'!I:I,$J641)))</f>
      </c>
      <c r="G641" s="63" t="str">
        <f>IF($J641=0,"",IF(INDEX('Прайс и заказ'!K:K,$J641)="","",INDEX('Прайс и заказ'!K:K,$J641)))</f>
      </c>
      <c r="H641" s="62" t="str">
        <f>IF($J641=0,"",IF(INDEX('Прайс и заказ'!L:L,$J641)="","",INDEX('Прайс и заказ'!L:L,$J641)))</f>
      </c>
      <c r="I641" s="13" t="str">
        <f>IF($J641=0,"",IF(INDEX('Прайс и заказ'!M:M,$J641)="","",INDEX('Прайс и заказ'!M:M,$J641)))</f>
      </c>
      <c r="J641" t="str">
        <f>IFERROR(MATCH(633,'Прайс и заказ'!$N$7:$N$781,0)+6,0)</f>
      </c>
    </row>
    <row r="642" spans="1:11" customHeight="1" ht="40">
      <c r="A642" s="13" t="str">
        <f>IF($J642=0,"",IFERROR(_xlfn.IMAGE(INDEX('Прайс и заказ'!$O:$O,$J642)),""))</f>
      </c>
      <c r="B642" s="61" t="str">
        <f>IF($J642=0,"",IF(INDEX('Прайс и заказ'!B:B,$J642)="","",INDEX('Прайс и заказ'!B:B,$J642)))</f>
      </c>
      <c r="C642" s="64" t="str">
        <f>IF($J642=0,"",IF(INDEX('Прайс и заказ'!C:C,$J642)="","",INDEX('Прайс и заказ'!C:C,$J642)))</f>
      </c>
      <c r="D642" s="64" t="str">
        <f>IF($J642=0,"",IF(INDEX('Прайс и заказ'!D:D,$J642)="","",INDEX('Прайс и заказ'!D:D,$J642)))</f>
      </c>
      <c r="E642" s="61" t="str">
        <f>IF($J642=0,"",IF(INDEX('Прайс и заказ'!F:F,$J642)="","",INDEX('Прайс и заказ'!F:F,$J642)))</f>
      </c>
      <c r="F642" s="62" t="str">
        <f>IF($J642=0,"",IF(INDEX('Прайс и заказ'!I:I,$J642)="","",INDEX('Прайс и заказ'!I:I,$J642)))</f>
      </c>
      <c r="G642" s="63" t="str">
        <f>IF($J642=0,"",IF(INDEX('Прайс и заказ'!K:K,$J642)="","",INDEX('Прайс и заказ'!K:K,$J642)))</f>
      </c>
      <c r="H642" s="62" t="str">
        <f>IF($J642=0,"",IF(INDEX('Прайс и заказ'!L:L,$J642)="","",INDEX('Прайс и заказ'!L:L,$J642)))</f>
      </c>
      <c r="I642" s="13" t="str">
        <f>IF($J642=0,"",IF(INDEX('Прайс и заказ'!M:M,$J642)="","",INDEX('Прайс и заказ'!M:M,$J642)))</f>
      </c>
      <c r="J642" t="str">
        <f>IFERROR(MATCH(634,'Прайс и заказ'!$N$7:$N$781,0)+6,0)</f>
      </c>
    </row>
    <row r="643" spans="1:11" customHeight="1" ht="40">
      <c r="A643" s="13" t="str">
        <f>IF($J643=0,"",IFERROR(_xlfn.IMAGE(INDEX('Прайс и заказ'!$O:$O,$J643)),""))</f>
      </c>
      <c r="B643" s="61" t="str">
        <f>IF($J643=0,"",IF(INDEX('Прайс и заказ'!B:B,$J643)="","",INDEX('Прайс и заказ'!B:B,$J643)))</f>
      </c>
      <c r="C643" s="64" t="str">
        <f>IF($J643=0,"",IF(INDEX('Прайс и заказ'!C:C,$J643)="","",INDEX('Прайс и заказ'!C:C,$J643)))</f>
      </c>
      <c r="D643" s="64" t="str">
        <f>IF($J643=0,"",IF(INDEX('Прайс и заказ'!D:D,$J643)="","",INDEX('Прайс и заказ'!D:D,$J643)))</f>
      </c>
      <c r="E643" s="61" t="str">
        <f>IF($J643=0,"",IF(INDEX('Прайс и заказ'!F:F,$J643)="","",INDEX('Прайс и заказ'!F:F,$J643)))</f>
      </c>
      <c r="F643" s="62" t="str">
        <f>IF($J643=0,"",IF(INDEX('Прайс и заказ'!I:I,$J643)="","",INDEX('Прайс и заказ'!I:I,$J643)))</f>
      </c>
      <c r="G643" s="63" t="str">
        <f>IF($J643=0,"",IF(INDEX('Прайс и заказ'!K:K,$J643)="","",INDEX('Прайс и заказ'!K:K,$J643)))</f>
      </c>
      <c r="H643" s="62" t="str">
        <f>IF($J643=0,"",IF(INDEX('Прайс и заказ'!L:L,$J643)="","",INDEX('Прайс и заказ'!L:L,$J643)))</f>
      </c>
      <c r="I643" s="13" t="str">
        <f>IF($J643=0,"",IF(INDEX('Прайс и заказ'!M:M,$J643)="","",INDEX('Прайс и заказ'!M:M,$J643)))</f>
      </c>
      <c r="J643" t="str">
        <f>IFERROR(MATCH(635,'Прайс и заказ'!$N$7:$N$781,0)+6,0)</f>
      </c>
    </row>
    <row r="644" spans="1:11" customHeight="1" ht="40">
      <c r="A644" s="13" t="str">
        <f>IF($J644=0,"",IFERROR(_xlfn.IMAGE(INDEX('Прайс и заказ'!$O:$O,$J644)),""))</f>
      </c>
      <c r="B644" s="61" t="str">
        <f>IF($J644=0,"",IF(INDEX('Прайс и заказ'!B:B,$J644)="","",INDEX('Прайс и заказ'!B:B,$J644)))</f>
      </c>
      <c r="C644" s="64" t="str">
        <f>IF($J644=0,"",IF(INDEX('Прайс и заказ'!C:C,$J644)="","",INDEX('Прайс и заказ'!C:C,$J644)))</f>
      </c>
      <c r="D644" s="64" t="str">
        <f>IF($J644=0,"",IF(INDEX('Прайс и заказ'!D:D,$J644)="","",INDEX('Прайс и заказ'!D:D,$J644)))</f>
      </c>
      <c r="E644" s="61" t="str">
        <f>IF($J644=0,"",IF(INDEX('Прайс и заказ'!F:F,$J644)="","",INDEX('Прайс и заказ'!F:F,$J644)))</f>
      </c>
      <c r="F644" s="62" t="str">
        <f>IF($J644=0,"",IF(INDEX('Прайс и заказ'!I:I,$J644)="","",INDEX('Прайс и заказ'!I:I,$J644)))</f>
      </c>
      <c r="G644" s="63" t="str">
        <f>IF($J644=0,"",IF(INDEX('Прайс и заказ'!K:K,$J644)="","",INDEX('Прайс и заказ'!K:K,$J644)))</f>
      </c>
      <c r="H644" s="62" t="str">
        <f>IF($J644=0,"",IF(INDEX('Прайс и заказ'!L:L,$J644)="","",INDEX('Прайс и заказ'!L:L,$J644)))</f>
      </c>
      <c r="I644" s="13" t="str">
        <f>IF($J644=0,"",IF(INDEX('Прайс и заказ'!M:M,$J644)="","",INDEX('Прайс и заказ'!M:M,$J644)))</f>
      </c>
      <c r="J644" t="str">
        <f>IFERROR(MATCH(636,'Прайс и заказ'!$N$7:$N$781,0)+6,0)</f>
      </c>
    </row>
    <row r="645" spans="1:11" customHeight="1" ht="40">
      <c r="A645" s="13" t="str">
        <f>IF($J645=0,"",IFERROR(_xlfn.IMAGE(INDEX('Прайс и заказ'!$O:$O,$J645)),""))</f>
      </c>
      <c r="B645" s="61" t="str">
        <f>IF($J645=0,"",IF(INDEX('Прайс и заказ'!B:B,$J645)="","",INDEX('Прайс и заказ'!B:B,$J645)))</f>
      </c>
      <c r="C645" s="64" t="str">
        <f>IF($J645=0,"",IF(INDEX('Прайс и заказ'!C:C,$J645)="","",INDEX('Прайс и заказ'!C:C,$J645)))</f>
      </c>
      <c r="D645" s="64" t="str">
        <f>IF($J645=0,"",IF(INDEX('Прайс и заказ'!D:D,$J645)="","",INDEX('Прайс и заказ'!D:D,$J645)))</f>
      </c>
      <c r="E645" s="61" t="str">
        <f>IF($J645=0,"",IF(INDEX('Прайс и заказ'!F:F,$J645)="","",INDEX('Прайс и заказ'!F:F,$J645)))</f>
      </c>
      <c r="F645" s="62" t="str">
        <f>IF($J645=0,"",IF(INDEX('Прайс и заказ'!I:I,$J645)="","",INDEX('Прайс и заказ'!I:I,$J645)))</f>
      </c>
      <c r="G645" s="63" t="str">
        <f>IF($J645=0,"",IF(INDEX('Прайс и заказ'!K:K,$J645)="","",INDEX('Прайс и заказ'!K:K,$J645)))</f>
      </c>
      <c r="H645" s="62" t="str">
        <f>IF($J645=0,"",IF(INDEX('Прайс и заказ'!L:L,$J645)="","",INDEX('Прайс и заказ'!L:L,$J645)))</f>
      </c>
      <c r="I645" s="13" t="str">
        <f>IF($J645=0,"",IF(INDEX('Прайс и заказ'!M:M,$J645)="","",INDEX('Прайс и заказ'!M:M,$J645)))</f>
      </c>
      <c r="J645" t="str">
        <f>IFERROR(MATCH(637,'Прайс и заказ'!$N$7:$N$781,0)+6,0)</f>
      </c>
    </row>
    <row r="646" spans="1:11" customHeight="1" ht="40">
      <c r="A646" s="13" t="str">
        <f>IF($J646=0,"",IFERROR(_xlfn.IMAGE(INDEX('Прайс и заказ'!$O:$O,$J646)),""))</f>
      </c>
      <c r="B646" s="61" t="str">
        <f>IF($J646=0,"",IF(INDEX('Прайс и заказ'!B:B,$J646)="","",INDEX('Прайс и заказ'!B:B,$J646)))</f>
      </c>
      <c r="C646" s="64" t="str">
        <f>IF($J646=0,"",IF(INDEX('Прайс и заказ'!C:C,$J646)="","",INDEX('Прайс и заказ'!C:C,$J646)))</f>
      </c>
      <c r="D646" s="64" t="str">
        <f>IF($J646=0,"",IF(INDEX('Прайс и заказ'!D:D,$J646)="","",INDEX('Прайс и заказ'!D:D,$J646)))</f>
      </c>
      <c r="E646" s="61" t="str">
        <f>IF($J646=0,"",IF(INDEX('Прайс и заказ'!F:F,$J646)="","",INDEX('Прайс и заказ'!F:F,$J646)))</f>
      </c>
      <c r="F646" s="62" t="str">
        <f>IF($J646=0,"",IF(INDEX('Прайс и заказ'!I:I,$J646)="","",INDEX('Прайс и заказ'!I:I,$J646)))</f>
      </c>
      <c r="G646" s="63" t="str">
        <f>IF($J646=0,"",IF(INDEX('Прайс и заказ'!K:K,$J646)="","",INDEX('Прайс и заказ'!K:K,$J646)))</f>
      </c>
      <c r="H646" s="62" t="str">
        <f>IF($J646=0,"",IF(INDEX('Прайс и заказ'!L:L,$J646)="","",INDEX('Прайс и заказ'!L:L,$J646)))</f>
      </c>
      <c r="I646" s="13" t="str">
        <f>IF($J646=0,"",IF(INDEX('Прайс и заказ'!M:M,$J646)="","",INDEX('Прайс и заказ'!M:M,$J646)))</f>
      </c>
      <c r="J646" t="str">
        <f>IFERROR(MATCH(638,'Прайс и заказ'!$N$7:$N$781,0)+6,0)</f>
      </c>
    </row>
    <row r="647" spans="1:11" customHeight="1" ht="40">
      <c r="A647" s="13" t="str">
        <f>IF($J647=0,"",IFERROR(_xlfn.IMAGE(INDEX('Прайс и заказ'!$O:$O,$J647)),""))</f>
      </c>
      <c r="B647" s="61" t="str">
        <f>IF($J647=0,"",IF(INDEX('Прайс и заказ'!B:B,$J647)="","",INDEX('Прайс и заказ'!B:B,$J647)))</f>
      </c>
      <c r="C647" s="64" t="str">
        <f>IF($J647=0,"",IF(INDEX('Прайс и заказ'!C:C,$J647)="","",INDEX('Прайс и заказ'!C:C,$J647)))</f>
      </c>
      <c r="D647" s="64" t="str">
        <f>IF($J647=0,"",IF(INDEX('Прайс и заказ'!D:D,$J647)="","",INDEX('Прайс и заказ'!D:D,$J647)))</f>
      </c>
      <c r="E647" s="61" t="str">
        <f>IF($J647=0,"",IF(INDEX('Прайс и заказ'!F:F,$J647)="","",INDEX('Прайс и заказ'!F:F,$J647)))</f>
      </c>
      <c r="F647" s="62" t="str">
        <f>IF($J647=0,"",IF(INDEX('Прайс и заказ'!I:I,$J647)="","",INDEX('Прайс и заказ'!I:I,$J647)))</f>
      </c>
      <c r="G647" s="63" t="str">
        <f>IF($J647=0,"",IF(INDEX('Прайс и заказ'!K:K,$J647)="","",INDEX('Прайс и заказ'!K:K,$J647)))</f>
      </c>
      <c r="H647" s="62" t="str">
        <f>IF($J647=0,"",IF(INDEX('Прайс и заказ'!L:L,$J647)="","",INDEX('Прайс и заказ'!L:L,$J647)))</f>
      </c>
      <c r="I647" s="13" t="str">
        <f>IF($J647=0,"",IF(INDEX('Прайс и заказ'!M:M,$J647)="","",INDEX('Прайс и заказ'!M:M,$J647)))</f>
      </c>
      <c r="J647" t="str">
        <f>IFERROR(MATCH(639,'Прайс и заказ'!$N$7:$N$781,0)+6,0)</f>
      </c>
    </row>
    <row r="648" spans="1:11" customHeight="1" ht="40">
      <c r="A648" s="13" t="str">
        <f>IF($J648=0,"",IFERROR(_xlfn.IMAGE(INDEX('Прайс и заказ'!$O:$O,$J648)),""))</f>
      </c>
      <c r="B648" s="61" t="str">
        <f>IF($J648=0,"",IF(INDEX('Прайс и заказ'!B:B,$J648)="","",INDEX('Прайс и заказ'!B:B,$J648)))</f>
      </c>
      <c r="C648" s="64" t="str">
        <f>IF($J648=0,"",IF(INDEX('Прайс и заказ'!C:C,$J648)="","",INDEX('Прайс и заказ'!C:C,$J648)))</f>
      </c>
      <c r="D648" s="64" t="str">
        <f>IF($J648=0,"",IF(INDEX('Прайс и заказ'!D:D,$J648)="","",INDEX('Прайс и заказ'!D:D,$J648)))</f>
      </c>
      <c r="E648" s="61" t="str">
        <f>IF($J648=0,"",IF(INDEX('Прайс и заказ'!F:F,$J648)="","",INDEX('Прайс и заказ'!F:F,$J648)))</f>
      </c>
      <c r="F648" s="62" t="str">
        <f>IF($J648=0,"",IF(INDEX('Прайс и заказ'!I:I,$J648)="","",INDEX('Прайс и заказ'!I:I,$J648)))</f>
      </c>
      <c r="G648" s="63" t="str">
        <f>IF($J648=0,"",IF(INDEX('Прайс и заказ'!K:K,$J648)="","",INDEX('Прайс и заказ'!K:K,$J648)))</f>
      </c>
      <c r="H648" s="62" t="str">
        <f>IF($J648=0,"",IF(INDEX('Прайс и заказ'!L:L,$J648)="","",INDEX('Прайс и заказ'!L:L,$J648)))</f>
      </c>
      <c r="I648" s="13" t="str">
        <f>IF($J648=0,"",IF(INDEX('Прайс и заказ'!M:M,$J648)="","",INDEX('Прайс и заказ'!M:M,$J648)))</f>
      </c>
      <c r="J648" t="str">
        <f>IFERROR(MATCH(640,'Прайс и заказ'!$N$7:$N$781,0)+6,0)</f>
      </c>
    </row>
    <row r="649" spans="1:11" customHeight="1" ht="40">
      <c r="A649" s="13" t="str">
        <f>IF($J649=0,"",IFERROR(_xlfn.IMAGE(INDEX('Прайс и заказ'!$O:$O,$J649)),""))</f>
      </c>
      <c r="B649" s="61" t="str">
        <f>IF($J649=0,"",IF(INDEX('Прайс и заказ'!B:B,$J649)="","",INDEX('Прайс и заказ'!B:B,$J649)))</f>
      </c>
      <c r="C649" s="64" t="str">
        <f>IF($J649=0,"",IF(INDEX('Прайс и заказ'!C:C,$J649)="","",INDEX('Прайс и заказ'!C:C,$J649)))</f>
      </c>
      <c r="D649" s="64" t="str">
        <f>IF($J649=0,"",IF(INDEX('Прайс и заказ'!D:D,$J649)="","",INDEX('Прайс и заказ'!D:D,$J649)))</f>
      </c>
      <c r="E649" s="61" t="str">
        <f>IF($J649=0,"",IF(INDEX('Прайс и заказ'!F:F,$J649)="","",INDEX('Прайс и заказ'!F:F,$J649)))</f>
      </c>
      <c r="F649" s="62" t="str">
        <f>IF($J649=0,"",IF(INDEX('Прайс и заказ'!I:I,$J649)="","",INDEX('Прайс и заказ'!I:I,$J649)))</f>
      </c>
      <c r="G649" s="63" t="str">
        <f>IF($J649=0,"",IF(INDEX('Прайс и заказ'!K:K,$J649)="","",INDEX('Прайс и заказ'!K:K,$J649)))</f>
      </c>
      <c r="H649" s="62" t="str">
        <f>IF($J649=0,"",IF(INDEX('Прайс и заказ'!L:L,$J649)="","",INDEX('Прайс и заказ'!L:L,$J649)))</f>
      </c>
      <c r="I649" s="13" t="str">
        <f>IF($J649=0,"",IF(INDEX('Прайс и заказ'!M:M,$J649)="","",INDEX('Прайс и заказ'!M:M,$J649)))</f>
      </c>
      <c r="J649" t="str">
        <f>IFERROR(MATCH(641,'Прайс и заказ'!$N$7:$N$781,0)+6,0)</f>
      </c>
    </row>
    <row r="650" spans="1:11" customHeight="1" ht="40">
      <c r="A650" s="13" t="str">
        <f>IF($J650=0,"",IFERROR(_xlfn.IMAGE(INDEX('Прайс и заказ'!$O:$O,$J650)),""))</f>
      </c>
      <c r="B650" s="61" t="str">
        <f>IF($J650=0,"",IF(INDEX('Прайс и заказ'!B:B,$J650)="","",INDEX('Прайс и заказ'!B:B,$J650)))</f>
      </c>
      <c r="C650" s="64" t="str">
        <f>IF($J650=0,"",IF(INDEX('Прайс и заказ'!C:C,$J650)="","",INDEX('Прайс и заказ'!C:C,$J650)))</f>
      </c>
      <c r="D650" s="64" t="str">
        <f>IF($J650=0,"",IF(INDEX('Прайс и заказ'!D:D,$J650)="","",INDEX('Прайс и заказ'!D:D,$J650)))</f>
      </c>
      <c r="E650" s="61" t="str">
        <f>IF($J650=0,"",IF(INDEX('Прайс и заказ'!F:F,$J650)="","",INDEX('Прайс и заказ'!F:F,$J650)))</f>
      </c>
      <c r="F650" s="62" t="str">
        <f>IF($J650=0,"",IF(INDEX('Прайс и заказ'!I:I,$J650)="","",INDEX('Прайс и заказ'!I:I,$J650)))</f>
      </c>
      <c r="G650" s="63" t="str">
        <f>IF($J650=0,"",IF(INDEX('Прайс и заказ'!K:K,$J650)="","",INDEX('Прайс и заказ'!K:K,$J650)))</f>
      </c>
      <c r="H650" s="62" t="str">
        <f>IF($J650=0,"",IF(INDEX('Прайс и заказ'!L:L,$J650)="","",INDEX('Прайс и заказ'!L:L,$J650)))</f>
      </c>
      <c r="I650" s="13" t="str">
        <f>IF($J650=0,"",IF(INDEX('Прайс и заказ'!M:M,$J650)="","",INDEX('Прайс и заказ'!M:M,$J650)))</f>
      </c>
      <c r="J650" t="str">
        <f>IFERROR(MATCH(642,'Прайс и заказ'!$N$7:$N$781,0)+6,0)</f>
      </c>
    </row>
    <row r="651" spans="1:11" customHeight="1" ht="40">
      <c r="A651" s="13" t="str">
        <f>IF($J651=0,"",IFERROR(_xlfn.IMAGE(INDEX('Прайс и заказ'!$O:$O,$J651)),""))</f>
      </c>
      <c r="B651" s="61" t="str">
        <f>IF($J651=0,"",IF(INDEX('Прайс и заказ'!B:B,$J651)="","",INDEX('Прайс и заказ'!B:B,$J651)))</f>
      </c>
      <c r="C651" s="64" t="str">
        <f>IF($J651=0,"",IF(INDEX('Прайс и заказ'!C:C,$J651)="","",INDEX('Прайс и заказ'!C:C,$J651)))</f>
      </c>
      <c r="D651" s="64" t="str">
        <f>IF($J651=0,"",IF(INDEX('Прайс и заказ'!D:D,$J651)="","",INDEX('Прайс и заказ'!D:D,$J651)))</f>
      </c>
      <c r="E651" s="61" t="str">
        <f>IF($J651=0,"",IF(INDEX('Прайс и заказ'!F:F,$J651)="","",INDEX('Прайс и заказ'!F:F,$J651)))</f>
      </c>
      <c r="F651" s="62" t="str">
        <f>IF($J651=0,"",IF(INDEX('Прайс и заказ'!I:I,$J651)="","",INDEX('Прайс и заказ'!I:I,$J651)))</f>
      </c>
      <c r="G651" s="63" t="str">
        <f>IF($J651=0,"",IF(INDEX('Прайс и заказ'!K:K,$J651)="","",INDEX('Прайс и заказ'!K:K,$J651)))</f>
      </c>
      <c r="H651" s="62" t="str">
        <f>IF($J651=0,"",IF(INDEX('Прайс и заказ'!L:L,$J651)="","",INDEX('Прайс и заказ'!L:L,$J651)))</f>
      </c>
      <c r="I651" s="13" t="str">
        <f>IF($J651=0,"",IF(INDEX('Прайс и заказ'!M:M,$J651)="","",INDEX('Прайс и заказ'!M:M,$J651)))</f>
      </c>
      <c r="J651" t="str">
        <f>IFERROR(MATCH(643,'Прайс и заказ'!$N$7:$N$781,0)+6,0)</f>
      </c>
    </row>
    <row r="652" spans="1:11" customHeight="1" ht="40">
      <c r="A652" s="13" t="str">
        <f>IF($J652=0,"",IFERROR(_xlfn.IMAGE(INDEX('Прайс и заказ'!$O:$O,$J652)),""))</f>
      </c>
      <c r="B652" s="61" t="str">
        <f>IF($J652=0,"",IF(INDEX('Прайс и заказ'!B:B,$J652)="","",INDEX('Прайс и заказ'!B:B,$J652)))</f>
      </c>
      <c r="C652" s="64" t="str">
        <f>IF($J652=0,"",IF(INDEX('Прайс и заказ'!C:C,$J652)="","",INDEX('Прайс и заказ'!C:C,$J652)))</f>
      </c>
      <c r="D652" s="64" t="str">
        <f>IF($J652=0,"",IF(INDEX('Прайс и заказ'!D:D,$J652)="","",INDEX('Прайс и заказ'!D:D,$J652)))</f>
      </c>
      <c r="E652" s="61" t="str">
        <f>IF($J652=0,"",IF(INDEX('Прайс и заказ'!F:F,$J652)="","",INDEX('Прайс и заказ'!F:F,$J652)))</f>
      </c>
      <c r="F652" s="62" t="str">
        <f>IF($J652=0,"",IF(INDEX('Прайс и заказ'!I:I,$J652)="","",INDEX('Прайс и заказ'!I:I,$J652)))</f>
      </c>
      <c r="G652" s="63" t="str">
        <f>IF($J652=0,"",IF(INDEX('Прайс и заказ'!K:K,$J652)="","",INDEX('Прайс и заказ'!K:K,$J652)))</f>
      </c>
      <c r="H652" s="62" t="str">
        <f>IF($J652=0,"",IF(INDEX('Прайс и заказ'!L:L,$J652)="","",INDEX('Прайс и заказ'!L:L,$J652)))</f>
      </c>
      <c r="I652" s="13" t="str">
        <f>IF($J652=0,"",IF(INDEX('Прайс и заказ'!M:M,$J652)="","",INDEX('Прайс и заказ'!M:M,$J652)))</f>
      </c>
      <c r="J652" t="str">
        <f>IFERROR(MATCH(644,'Прайс и заказ'!$N$7:$N$781,0)+6,0)</f>
      </c>
    </row>
    <row r="653" spans="1:11" customHeight="1" ht="40">
      <c r="A653" s="13" t="str">
        <f>IF($J653=0,"",IFERROR(_xlfn.IMAGE(INDEX('Прайс и заказ'!$O:$O,$J653)),""))</f>
      </c>
      <c r="B653" s="61" t="str">
        <f>IF($J653=0,"",IF(INDEX('Прайс и заказ'!B:B,$J653)="","",INDEX('Прайс и заказ'!B:B,$J653)))</f>
      </c>
      <c r="C653" s="64" t="str">
        <f>IF($J653=0,"",IF(INDEX('Прайс и заказ'!C:C,$J653)="","",INDEX('Прайс и заказ'!C:C,$J653)))</f>
      </c>
      <c r="D653" s="64" t="str">
        <f>IF($J653=0,"",IF(INDEX('Прайс и заказ'!D:D,$J653)="","",INDEX('Прайс и заказ'!D:D,$J653)))</f>
      </c>
      <c r="E653" s="61" t="str">
        <f>IF($J653=0,"",IF(INDEX('Прайс и заказ'!F:F,$J653)="","",INDEX('Прайс и заказ'!F:F,$J653)))</f>
      </c>
      <c r="F653" s="62" t="str">
        <f>IF($J653=0,"",IF(INDEX('Прайс и заказ'!I:I,$J653)="","",INDEX('Прайс и заказ'!I:I,$J653)))</f>
      </c>
      <c r="G653" s="63" t="str">
        <f>IF($J653=0,"",IF(INDEX('Прайс и заказ'!K:K,$J653)="","",INDEX('Прайс и заказ'!K:K,$J653)))</f>
      </c>
      <c r="H653" s="62" t="str">
        <f>IF($J653=0,"",IF(INDEX('Прайс и заказ'!L:L,$J653)="","",INDEX('Прайс и заказ'!L:L,$J653)))</f>
      </c>
      <c r="I653" s="13" t="str">
        <f>IF($J653=0,"",IF(INDEX('Прайс и заказ'!M:M,$J653)="","",INDEX('Прайс и заказ'!M:M,$J653)))</f>
      </c>
      <c r="J653" t="str">
        <f>IFERROR(MATCH(645,'Прайс и заказ'!$N$7:$N$781,0)+6,0)</f>
      </c>
    </row>
    <row r="654" spans="1:11" customHeight="1" ht="40">
      <c r="A654" s="13" t="str">
        <f>IF($J654=0,"",IFERROR(_xlfn.IMAGE(INDEX('Прайс и заказ'!$O:$O,$J654)),""))</f>
      </c>
      <c r="B654" s="61" t="str">
        <f>IF($J654=0,"",IF(INDEX('Прайс и заказ'!B:B,$J654)="","",INDEX('Прайс и заказ'!B:B,$J654)))</f>
      </c>
      <c r="C654" s="64" t="str">
        <f>IF($J654=0,"",IF(INDEX('Прайс и заказ'!C:C,$J654)="","",INDEX('Прайс и заказ'!C:C,$J654)))</f>
      </c>
      <c r="D654" s="64" t="str">
        <f>IF($J654=0,"",IF(INDEX('Прайс и заказ'!D:D,$J654)="","",INDEX('Прайс и заказ'!D:D,$J654)))</f>
      </c>
      <c r="E654" s="61" t="str">
        <f>IF($J654=0,"",IF(INDEX('Прайс и заказ'!F:F,$J654)="","",INDEX('Прайс и заказ'!F:F,$J654)))</f>
      </c>
      <c r="F654" s="62" t="str">
        <f>IF($J654=0,"",IF(INDEX('Прайс и заказ'!I:I,$J654)="","",INDEX('Прайс и заказ'!I:I,$J654)))</f>
      </c>
      <c r="G654" s="63" t="str">
        <f>IF($J654=0,"",IF(INDEX('Прайс и заказ'!K:K,$J654)="","",INDEX('Прайс и заказ'!K:K,$J654)))</f>
      </c>
      <c r="H654" s="62" t="str">
        <f>IF($J654=0,"",IF(INDEX('Прайс и заказ'!L:L,$J654)="","",INDEX('Прайс и заказ'!L:L,$J654)))</f>
      </c>
      <c r="I654" s="13" t="str">
        <f>IF($J654=0,"",IF(INDEX('Прайс и заказ'!M:M,$J654)="","",INDEX('Прайс и заказ'!M:M,$J654)))</f>
      </c>
      <c r="J654" t="str">
        <f>IFERROR(MATCH(646,'Прайс и заказ'!$N$7:$N$781,0)+6,0)</f>
      </c>
    </row>
    <row r="655" spans="1:11" customHeight="1" ht="40">
      <c r="A655" s="13" t="str">
        <f>IF($J655=0,"",IFERROR(_xlfn.IMAGE(INDEX('Прайс и заказ'!$O:$O,$J655)),""))</f>
      </c>
      <c r="B655" s="61" t="str">
        <f>IF($J655=0,"",IF(INDEX('Прайс и заказ'!B:B,$J655)="","",INDEX('Прайс и заказ'!B:B,$J655)))</f>
      </c>
      <c r="C655" s="64" t="str">
        <f>IF($J655=0,"",IF(INDEX('Прайс и заказ'!C:C,$J655)="","",INDEX('Прайс и заказ'!C:C,$J655)))</f>
      </c>
      <c r="D655" s="64" t="str">
        <f>IF($J655=0,"",IF(INDEX('Прайс и заказ'!D:D,$J655)="","",INDEX('Прайс и заказ'!D:D,$J655)))</f>
      </c>
      <c r="E655" s="61" t="str">
        <f>IF($J655=0,"",IF(INDEX('Прайс и заказ'!F:F,$J655)="","",INDEX('Прайс и заказ'!F:F,$J655)))</f>
      </c>
      <c r="F655" s="62" t="str">
        <f>IF($J655=0,"",IF(INDEX('Прайс и заказ'!I:I,$J655)="","",INDEX('Прайс и заказ'!I:I,$J655)))</f>
      </c>
      <c r="G655" s="63" t="str">
        <f>IF($J655=0,"",IF(INDEX('Прайс и заказ'!K:K,$J655)="","",INDEX('Прайс и заказ'!K:K,$J655)))</f>
      </c>
      <c r="H655" s="62" t="str">
        <f>IF($J655=0,"",IF(INDEX('Прайс и заказ'!L:L,$J655)="","",INDEX('Прайс и заказ'!L:L,$J655)))</f>
      </c>
      <c r="I655" s="13" t="str">
        <f>IF($J655=0,"",IF(INDEX('Прайс и заказ'!M:M,$J655)="","",INDEX('Прайс и заказ'!M:M,$J655)))</f>
      </c>
      <c r="J655" t="str">
        <f>IFERROR(MATCH(647,'Прайс и заказ'!$N$7:$N$781,0)+6,0)</f>
      </c>
    </row>
    <row r="656" spans="1:11" customHeight="1" ht="40">
      <c r="A656" s="13" t="str">
        <f>IF($J656=0,"",IFERROR(_xlfn.IMAGE(INDEX('Прайс и заказ'!$O:$O,$J656)),""))</f>
      </c>
      <c r="B656" s="61" t="str">
        <f>IF($J656=0,"",IF(INDEX('Прайс и заказ'!B:B,$J656)="","",INDEX('Прайс и заказ'!B:B,$J656)))</f>
      </c>
      <c r="C656" s="64" t="str">
        <f>IF($J656=0,"",IF(INDEX('Прайс и заказ'!C:C,$J656)="","",INDEX('Прайс и заказ'!C:C,$J656)))</f>
      </c>
      <c r="D656" s="64" t="str">
        <f>IF($J656=0,"",IF(INDEX('Прайс и заказ'!D:D,$J656)="","",INDEX('Прайс и заказ'!D:D,$J656)))</f>
      </c>
      <c r="E656" s="61" t="str">
        <f>IF($J656=0,"",IF(INDEX('Прайс и заказ'!F:F,$J656)="","",INDEX('Прайс и заказ'!F:F,$J656)))</f>
      </c>
      <c r="F656" s="62" t="str">
        <f>IF($J656=0,"",IF(INDEX('Прайс и заказ'!I:I,$J656)="","",INDEX('Прайс и заказ'!I:I,$J656)))</f>
      </c>
      <c r="G656" s="63" t="str">
        <f>IF($J656=0,"",IF(INDEX('Прайс и заказ'!K:K,$J656)="","",INDEX('Прайс и заказ'!K:K,$J656)))</f>
      </c>
      <c r="H656" s="62" t="str">
        <f>IF($J656=0,"",IF(INDEX('Прайс и заказ'!L:L,$J656)="","",INDEX('Прайс и заказ'!L:L,$J656)))</f>
      </c>
      <c r="I656" s="13" t="str">
        <f>IF($J656=0,"",IF(INDEX('Прайс и заказ'!M:M,$J656)="","",INDEX('Прайс и заказ'!M:M,$J656)))</f>
      </c>
      <c r="J656" t="str">
        <f>IFERROR(MATCH(648,'Прайс и заказ'!$N$7:$N$781,0)+6,0)</f>
      </c>
    </row>
    <row r="657" spans="1:11" customHeight="1" ht="40">
      <c r="A657" s="13" t="str">
        <f>IF($J657=0,"",IFERROR(_xlfn.IMAGE(INDEX('Прайс и заказ'!$O:$O,$J657)),""))</f>
      </c>
      <c r="B657" s="61" t="str">
        <f>IF($J657=0,"",IF(INDEX('Прайс и заказ'!B:B,$J657)="","",INDEX('Прайс и заказ'!B:B,$J657)))</f>
      </c>
      <c r="C657" s="64" t="str">
        <f>IF($J657=0,"",IF(INDEX('Прайс и заказ'!C:C,$J657)="","",INDEX('Прайс и заказ'!C:C,$J657)))</f>
      </c>
      <c r="D657" s="64" t="str">
        <f>IF($J657=0,"",IF(INDEX('Прайс и заказ'!D:D,$J657)="","",INDEX('Прайс и заказ'!D:D,$J657)))</f>
      </c>
      <c r="E657" s="61" t="str">
        <f>IF($J657=0,"",IF(INDEX('Прайс и заказ'!F:F,$J657)="","",INDEX('Прайс и заказ'!F:F,$J657)))</f>
      </c>
      <c r="F657" s="62" t="str">
        <f>IF($J657=0,"",IF(INDEX('Прайс и заказ'!I:I,$J657)="","",INDEX('Прайс и заказ'!I:I,$J657)))</f>
      </c>
      <c r="G657" s="63" t="str">
        <f>IF($J657=0,"",IF(INDEX('Прайс и заказ'!K:K,$J657)="","",INDEX('Прайс и заказ'!K:K,$J657)))</f>
      </c>
      <c r="H657" s="62" t="str">
        <f>IF($J657=0,"",IF(INDEX('Прайс и заказ'!L:L,$J657)="","",INDEX('Прайс и заказ'!L:L,$J657)))</f>
      </c>
      <c r="I657" s="13" t="str">
        <f>IF($J657=0,"",IF(INDEX('Прайс и заказ'!M:M,$J657)="","",INDEX('Прайс и заказ'!M:M,$J657)))</f>
      </c>
      <c r="J657" t="str">
        <f>IFERROR(MATCH(649,'Прайс и заказ'!$N$7:$N$781,0)+6,0)</f>
      </c>
    </row>
    <row r="658" spans="1:11" customHeight="1" ht="40">
      <c r="A658" s="13" t="str">
        <f>IF($J658=0,"",IFERROR(_xlfn.IMAGE(INDEX('Прайс и заказ'!$O:$O,$J658)),""))</f>
      </c>
      <c r="B658" s="61" t="str">
        <f>IF($J658=0,"",IF(INDEX('Прайс и заказ'!B:B,$J658)="","",INDEX('Прайс и заказ'!B:B,$J658)))</f>
      </c>
      <c r="C658" s="64" t="str">
        <f>IF($J658=0,"",IF(INDEX('Прайс и заказ'!C:C,$J658)="","",INDEX('Прайс и заказ'!C:C,$J658)))</f>
      </c>
      <c r="D658" s="64" t="str">
        <f>IF($J658=0,"",IF(INDEX('Прайс и заказ'!D:D,$J658)="","",INDEX('Прайс и заказ'!D:D,$J658)))</f>
      </c>
      <c r="E658" s="61" t="str">
        <f>IF($J658=0,"",IF(INDEX('Прайс и заказ'!F:F,$J658)="","",INDEX('Прайс и заказ'!F:F,$J658)))</f>
      </c>
      <c r="F658" s="62" t="str">
        <f>IF($J658=0,"",IF(INDEX('Прайс и заказ'!I:I,$J658)="","",INDEX('Прайс и заказ'!I:I,$J658)))</f>
      </c>
      <c r="G658" s="63" t="str">
        <f>IF($J658=0,"",IF(INDEX('Прайс и заказ'!K:K,$J658)="","",INDEX('Прайс и заказ'!K:K,$J658)))</f>
      </c>
      <c r="H658" s="62" t="str">
        <f>IF($J658=0,"",IF(INDEX('Прайс и заказ'!L:L,$J658)="","",INDEX('Прайс и заказ'!L:L,$J658)))</f>
      </c>
      <c r="I658" s="13" t="str">
        <f>IF($J658=0,"",IF(INDEX('Прайс и заказ'!M:M,$J658)="","",INDEX('Прайс и заказ'!M:M,$J658)))</f>
      </c>
      <c r="J658" t="str">
        <f>IFERROR(MATCH(650,'Прайс и заказ'!$N$7:$N$781,0)+6,0)</f>
      </c>
    </row>
    <row r="659" spans="1:11" customHeight="1" ht="40">
      <c r="A659" s="13" t="str">
        <f>IF($J659=0,"",IFERROR(_xlfn.IMAGE(INDEX('Прайс и заказ'!$O:$O,$J659)),""))</f>
      </c>
      <c r="B659" s="61" t="str">
        <f>IF($J659=0,"",IF(INDEX('Прайс и заказ'!B:B,$J659)="","",INDEX('Прайс и заказ'!B:B,$J659)))</f>
      </c>
      <c r="C659" s="64" t="str">
        <f>IF($J659=0,"",IF(INDEX('Прайс и заказ'!C:C,$J659)="","",INDEX('Прайс и заказ'!C:C,$J659)))</f>
      </c>
      <c r="D659" s="64" t="str">
        <f>IF($J659=0,"",IF(INDEX('Прайс и заказ'!D:D,$J659)="","",INDEX('Прайс и заказ'!D:D,$J659)))</f>
      </c>
      <c r="E659" s="61" t="str">
        <f>IF($J659=0,"",IF(INDEX('Прайс и заказ'!F:F,$J659)="","",INDEX('Прайс и заказ'!F:F,$J659)))</f>
      </c>
      <c r="F659" s="62" t="str">
        <f>IF($J659=0,"",IF(INDEX('Прайс и заказ'!I:I,$J659)="","",INDEX('Прайс и заказ'!I:I,$J659)))</f>
      </c>
      <c r="G659" s="63" t="str">
        <f>IF($J659=0,"",IF(INDEX('Прайс и заказ'!K:K,$J659)="","",INDEX('Прайс и заказ'!K:K,$J659)))</f>
      </c>
      <c r="H659" s="62" t="str">
        <f>IF($J659=0,"",IF(INDEX('Прайс и заказ'!L:L,$J659)="","",INDEX('Прайс и заказ'!L:L,$J659)))</f>
      </c>
      <c r="I659" s="13" t="str">
        <f>IF($J659=0,"",IF(INDEX('Прайс и заказ'!M:M,$J659)="","",INDEX('Прайс и заказ'!M:M,$J659)))</f>
      </c>
      <c r="J659" t="str">
        <f>IFERROR(MATCH(651,'Прайс и заказ'!$N$7:$N$781,0)+6,0)</f>
      </c>
    </row>
    <row r="660" spans="1:11" customHeight="1" ht="40">
      <c r="A660" s="13" t="str">
        <f>IF($J660=0,"",IFERROR(_xlfn.IMAGE(INDEX('Прайс и заказ'!$O:$O,$J660)),""))</f>
      </c>
      <c r="B660" s="61" t="str">
        <f>IF($J660=0,"",IF(INDEX('Прайс и заказ'!B:B,$J660)="","",INDEX('Прайс и заказ'!B:B,$J660)))</f>
      </c>
      <c r="C660" s="64" t="str">
        <f>IF($J660=0,"",IF(INDEX('Прайс и заказ'!C:C,$J660)="","",INDEX('Прайс и заказ'!C:C,$J660)))</f>
      </c>
      <c r="D660" s="64" t="str">
        <f>IF($J660=0,"",IF(INDEX('Прайс и заказ'!D:D,$J660)="","",INDEX('Прайс и заказ'!D:D,$J660)))</f>
      </c>
      <c r="E660" s="61" t="str">
        <f>IF($J660=0,"",IF(INDEX('Прайс и заказ'!F:F,$J660)="","",INDEX('Прайс и заказ'!F:F,$J660)))</f>
      </c>
      <c r="F660" s="62" t="str">
        <f>IF($J660=0,"",IF(INDEX('Прайс и заказ'!I:I,$J660)="","",INDEX('Прайс и заказ'!I:I,$J660)))</f>
      </c>
      <c r="G660" s="63" t="str">
        <f>IF($J660=0,"",IF(INDEX('Прайс и заказ'!K:K,$J660)="","",INDEX('Прайс и заказ'!K:K,$J660)))</f>
      </c>
      <c r="H660" s="62" t="str">
        <f>IF($J660=0,"",IF(INDEX('Прайс и заказ'!L:L,$J660)="","",INDEX('Прайс и заказ'!L:L,$J660)))</f>
      </c>
      <c r="I660" s="13" t="str">
        <f>IF($J660=0,"",IF(INDEX('Прайс и заказ'!M:M,$J660)="","",INDEX('Прайс и заказ'!M:M,$J660)))</f>
      </c>
      <c r="J660" t="str">
        <f>IFERROR(MATCH(652,'Прайс и заказ'!$N$7:$N$781,0)+6,0)</f>
      </c>
    </row>
    <row r="661" spans="1:11" customHeight="1" ht="40">
      <c r="A661" s="13" t="str">
        <f>IF($J661=0,"",IFERROR(_xlfn.IMAGE(INDEX('Прайс и заказ'!$O:$O,$J661)),""))</f>
      </c>
      <c r="B661" s="61" t="str">
        <f>IF($J661=0,"",IF(INDEX('Прайс и заказ'!B:B,$J661)="","",INDEX('Прайс и заказ'!B:B,$J661)))</f>
      </c>
      <c r="C661" s="64" t="str">
        <f>IF($J661=0,"",IF(INDEX('Прайс и заказ'!C:C,$J661)="","",INDEX('Прайс и заказ'!C:C,$J661)))</f>
      </c>
      <c r="D661" s="64" t="str">
        <f>IF($J661=0,"",IF(INDEX('Прайс и заказ'!D:D,$J661)="","",INDEX('Прайс и заказ'!D:D,$J661)))</f>
      </c>
      <c r="E661" s="61" t="str">
        <f>IF($J661=0,"",IF(INDEX('Прайс и заказ'!F:F,$J661)="","",INDEX('Прайс и заказ'!F:F,$J661)))</f>
      </c>
      <c r="F661" s="62" t="str">
        <f>IF($J661=0,"",IF(INDEX('Прайс и заказ'!I:I,$J661)="","",INDEX('Прайс и заказ'!I:I,$J661)))</f>
      </c>
      <c r="G661" s="63" t="str">
        <f>IF($J661=0,"",IF(INDEX('Прайс и заказ'!K:K,$J661)="","",INDEX('Прайс и заказ'!K:K,$J661)))</f>
      </c>
      <c r="H661" s="62" t="str">
        <f>IF($J661=0,"",IF(INDEX('Прайс и заказ'!L:L,$J661)="","",INDEX('Прайс и заказ'!L:L,$J661)))</f>
      </c>
      <c r="I661" s="13" t="str">
        <f>IF($J661=0,"",IF(INDEX('Прайс и заказ'!M:M,$J661)="","",INDEX('Прайс и заказ'!M:M,$J661)))</f>
      </c>
      <c r="J661" t="str">
        <f>IFERROR(MATCH(653,'Прайс и заказ'!$N$7:$N$781,0)+6,0)</f>
      </c>
    </row>
    <row r="662" spans="1:11" customHeight="1" ht="40">
      <c r="A662" s="13" t="str">
        <f>IF($J662=0,"",IFERROR(_xlfn.IMAGE(INDEX('Прайс и заказ'!$O:$O,$J662)),""))</f>
      </c>
      <c r="B662" s="61" t="str">
        <f>IF($J662=0,"",IF(INDEX('Прайс и заказ'!B:B,$J662)="","",INDEX('Прайс и заказ'!B:B,$J662)))</f>
      </c>
      <c r="C662" s="64" t="str">
        <f>IF($J662=0,"",IF(INDEX('Прайс и заказ'!C:C,$J662)="","",INDEX('Прайс и заказ'!C:C,$J662)))</f>
      </c>
      <c r="D662" s="64" t="str">
        <f>IF($J662=0,"",IF(INDEX('Прайс и заказ'!D:D,$J662)="","",INDEX('Прайс и заказ'!D:D,$J662)))</f>
      </c>
      <c r="E662" s="61" t="str">
        <f>IF($J662=0,"",IF(INDEX('Прайс и заказ'!F:F,$J662)="","",INDEX('Прайс и заказ'!F:F,$J662)))</f>
      </c>
      <c r="F662" s="62" t="str">
        <f>IF($J662=0,"",IF(INDEX('Прайс и заказ'!I:I,$J662)="","",INDEX('Прайс и заказ'!I:I,$J662)))</f>
      </c>
      <c r="G662" s="63" t="str">
        <f>IF($J662=0,"",IF(INDEX('Прайс и заказ'!K:K,$J662)="","",INDEX('Прайс и заказ'!K:K,$J662)))</f>
      </c>
      <c r="H662" s="62" t="str">
        <f>IF($J662=0,"",IF(INDEX('Прайс и заказ'!L:L,$J662)="","",INDEX('Прайс и заказ'!L:L,$J662)))</f>
      </c>
      <c r="I662" s="13" t="str">
        <f>IF($J662=0,"",IF(INDEX('Прайс и заказ'!M:M,$J662)="","",INDEX('Прайс и заказ'!M:M,$J662)))</f>
      </c>
      <c r="J662" t="str">
        <f>IFERROR(MATCH(654,'Прайс и заказ'!$N$7:$N$781,0)+6,0)</f>
      </c>
    </row>
    <row r="663" spans="1:11" customHeight="1" ht="40">
      <c r="A663" s="13" t="str">
        <f>IF($J663=0,"",IFERROR(_xlfn.IMAGE(INDEX('Прайс и заказ'!$O:$O,$J663)),""))</f>
      </c>
      <c r="B663" s="61" t="str">
        <f>IF($J663=0,"",IF(INDEX('Прайс и заказ'!B:B,$J663)="","",INDEX('Прайс и заказ'!B:B,$J663)))</f>
      </c>
      <c r="C663" s="64" t="str">
        <f>IF($J663=0,"",IF(INDEX('Прайс и заказ'!C:C,$J663)="","",INDEX('Прайс и заказ'!C:C,$J663)))</f>
      </c>
      <c r="D663" s="64" t="str">
        <f>IF($J663=0,"",IF(INDEX('Прайс и заказ'!D:D,$J663)="","",INDEX('Прайс и заказ'!D:D,$J663)))</f>
      </c>
      <c r="E663" s="61" t="str">
        <f>IF($J663=0,"",IF(INDEX('Прайс и заказ'!F:F,$J663)="","",INDEX('Прайс и заказ'!F:F,$J663)))</f>
      </c>
      <c r="F663" s="62" t="str">
        <f>IF($J663=0,"",IF(INDEX('Прайс и заказ'!I:I,$J663)="","",INDEX('Прайс и заказ'!I:I,$J663)))</f>
      </c>
      <c r="G663" s="63" t="str">
        <f>IF($J663=0,"",IF(INDEX('Прайс и заказ'!K:K,$J663)="","",INDEX('Прайс и заказ'!K:K,$J663)))</f>
      </c>
      <c r="H663" s="62" t="str">
        <f>IF($J663=0,"",IF(INDEX('Прайс и заказ'!L:L,$J663)="","",INDEX('Прайс и заказ'!L:L,$J663)))</f>
      </c>
      <c r="I663" s="13" t="str">
        <f>IF($J663=0,"",IF(INDEX('Прайс и заказ'!M:M,$J663)="","",INDEX('Прайс и заказ'!M:M,$J663)))</f>
      </c>
      <c r="J663" t="str">
        <f>IFERROR(MATCH(655,'Прайс и заказ'!$N$7:$N$781,0)+6,0)</f>
      </c>
    </row>
    <row r="664" spans="1:11" customHeight="1" ht="40">
      <c r="A664" s="13" t="str">
        <f>IF($J664=0,"",IFERROR(_xlfn.IMAGE(INDEX('Прайс и заказ'!$O:$O,$J664)),""))</f>
      </c>
      <c r="B664" s="61" t="str">
        <f>IF($J664=0,"",IF(INDEX('Прайс и заказ'!B:B,$J664)="","",INDEX('Прайс и заказ'!B:B,$J664)))</f>
      </c>
      <c r="C664" s="64" t="str">
        <f>IF($J664=0,"",IF(INDEX('Прайс и заказ'!C:C,$J664)="","",INDEX('Прайс и заказ'!C:C,$J664)))</f>
      </c>
      <c r="D664" s="64" t="str">
        <f>IF($J664=0,"",IF(INDEX('Прайс и заказ'!D:D,$J664)="","",INDEX('Прайс и заказ'!D:D,$J664)))</f>
      </c>
      <c r="E664" s="61" t="str">
        <f>IF($J664=0,"",IF(INDEX('Прайс и заказ'!F:F,$J664)="","",INDEX('Прайс и заказ'!F:F,$J664)))</f>
      </c>
      <c r="F664" s="62" t="str">
        <f>IF($J664=0,"",IF(INDEX('Прайс и заказ'!I:I,$J664)="","",INDEX('Прайс и заказ'!I:I,$J664)))</f>
      </c>
      <c r="G664" s="63" t="str">
        <f>IF($J664=0,"",IF(INDEX('Прайс и заказ'!K:K,$J664)="","",INDEX('Прайс и заказ'!K:K,$J664)))</f>
      </c>
      <c r="H664" s="62" t="str">
        <f>IF($J664=0,"",IF(INDEX('Прайс и заказ'!L:L,$J664)="","",INDEX('Прайс и заказ'!L:L,$J664)))</f>
      </c>
      <c r="I664" s="13" t="str">
        <f>IF($J664=0,"",IF(INDEX('Прайс и заказ'!M:M,$J664)="","",INDEX('Прайс и заказ'!M:M,$J664)))</f>
      </c>
      <c r="J664" t="str">
        <f>IFERROR(MATCH(656,'Прайс и заказ'!$N$7:$N$781,0)+6,0)</f>
      </c>
    </row>
    <row r="665" spans="1:11" customHeight="1" ht="40">
      <c r="A665" s="13" t="str">
        <f>IF($J665=0,"",IFERROR(_xlfn.IMAGE(INDEX('Прайс и заказ'!$O:$O,$J665)),""))</f>
      </c>
      <c r="B665" s="61" t="str">
        <f>IF($J665=0,"",IF(INDEX('Прайс и заказ'!B:B,$J665)="","",INDEX('Прайс и заказ'!B:B,$J665)))</f>
      </c>
      <c r="C665" s="64" t="str">
        <f>IF($J665=0,"",IF(INDEX('Прайс и заказ'!C:C,$J665)="","",INDEX('Прайс и заказ'!C:C,$J665)))</f>
      </c>
      <c r="D665" s="64" t="str">
        <f>IF($J665=0,"",IF(INDEX('Прайс и заказ'!D:D,$J665)="","",INDEX('Прайс и заказ'!D:D,$J665)))</f>
      </c>
      <c r="E665" s="61" t="str">
        <f>IF($J665=0,"",IF(INDEX('Прайс и заказ'!F:F,$J665)="","",INDEX('Прайс и заказ'!F:F,$J665)))</f>
      </c>
      <c r="F665" s="62" t="str">
        <f>IF($J665=0,"",IF(INDEX('Прайс и заказ'!I:I,$J665)="","",INDEX('Прайс и заказ'!I:I,$J665)))</f>
      </c>
      <c r="G665" s="63" t="str">
        <f>IF($J665=0,"",IF(INDEX('Прайс и заказ'!K:K,$J665)="","",INDEX('Прайс и заказ'!K:K,$J665)))</f>
      </c>
      <c r="H665" s="62" t="str">
        <f>IF($J665=0,"",IF(INDEX('Прайс и заказ'!L:L,$J665)="","",INDEX('Прайс и заказ'!L:L,$J665)))</f>
      </c>
      <c r="I665" s="13" t="str">
        <f>IF($J665=0,"",IF(INDEX('Прайс и заказ'!M:M,$J665)="","",INDEX('Прайс и заказ'!M:M,$J665)))</f>
      </c>
      <c r="J665" t="str">
        <f>IFERROR(MATCH(657,'Прайс и заказ'!$N$7:$N$781,0)+6,0)</f>
      </c>
    </row>
    <row r="666" spans="1:11" customHeight="1" ht="40">
      <c r="A666" s="13" t="str">
        <f>IF($J666=0,"",IFERROR(_xlfn.IMAGE(INDEX('Прайс и заказ'!$O:$O,$J666)),""))</f>
      </c>
      <c r="B666" s="61" t="str">
        <f>IF($J666=0,"",IF(INDEX('Прайс и заказ'!B:B,$J666)="","",INDEX('Прайс и заказ'!B:B,$J666)))</f>
      </c>
      <c r="C666" s="64" t="str">
        <f>IF($J666=0,"",IF(INDEX('Прайс и заказ'!C:C,$J666)="","",INDEX('Прайс и заказ'!C:C,$J666)))</f>
      </c>
      <c r="D666" s="64" t="str">
        <f>IF($J666=0,"",IF(INDEX('Прайс и заказ'!D:D,$J666)="","",INDEX('Прайс и заказ'!D:D,$J666)))</f>
      </c>
      <c r="E666" s="61" t="str">
        <f>IF($J666=0,"",IF(INDEX('Прайс и заказ'!F:F,$J666)="","",INDEX('Прайс и заказ'!F:F,$J666)))</f>
      </c>
      <c r="F666" s="62" t="str">
        <f>IF($J666=0,"",IF(INDEX('Прайс и заказ'!I:I,$J666)="","",INDEX('Прайс и заказ'!I:I,$J666)))</f>
      </c>
      <c r="G666" s="63" t="str">
        <f>IF($J666=0,"",IF(INDEX('Прайс и заказ'!K:K,$J666)="","",INDEX('Прайс и заказ'!K:K,$J666)))</f>
      </c>
      <c r="H666" s="62" t="str">
        <f>IF($J666=0,"",IF(INDEX('Прайс и заказ'!L:L,$J666)="","",INDEX('Прайс и заказ'!L:L,$J666)))</f>
      </c>
      <c r="I666" s="13" t="str">
        <f>IF($J666=0,"",IF(INDEX('Прайс и заказ'!M:M,$J666)="","",INDEX('Прайс и заказ'!M:M,$J666)))</f>
      </c>
      <c r="J666" t="str">
        <f>IFERROR(MATCH(658,'Прайс и заказ'!$N$7:$N$781,0)+6,0)</f>
      </c>
    </row>
    <row r="667" spans="1:11" customHeight="1" ht="40">
      <c r="A667" s="13" t="str">
        <f>IF($J667=0,"",IFERROR(_xlfn.IMAGE(INDEX('Прайс и заказ'!$O:$O,$J667)),""))</f>
      </c>
      <c r="B667" s="61" t="str">
        <f>IF($J667=0,"",IF(INDEX('Прайс и заказ'!B:B,$J667)="","",INDEX('Прайс и заказ'!B:B,$J667)))</f>
      </c>
      <c r="C667" s="64" t="str">
        <f>IF($J667=0,"",IF(INDEX('Прайс и заказ'!C:C,$J667)="","",INDEX('Прайс и заказ'!C:C,$J667)))</f>
      </c>
      <c r="D667" s="64" t="str">
        <f>IF($J667=0,"",IF(INDEX('Прайс и заказ'!D:D,$J667)="","",INDEX('Прайс и заказ'!D:D,$J667)))</f>
      </c>
      <c r="E667" s="61" t="str">
        <f>IF($J667=0,"",IF(INDEX('Прайс и заказ'!F:F,$J667)="","",INDEX('Прайс и заказ'!F:F,$J667)))</f>
      </c>
      <c r="F667" s="62" t="str">
        <f>IF($J667=0,"",IF(INDEX('Прайс и заказ'!I:I,$J667)="","",INDEX('Прайс и заказ'!I:I,$J667)))</f>
      </c>
      <c r="G667" s="63" t="str">
        <f>IF($J667=0,"",IF(INDEX('Прайс и заказ'!K:K,$J667)="","",INDEX('Прайс и заказ'!K:K,$J667)))</f>
      </c>
      <c r="H667" s="62" t="str">
        <f>IF($J667=0,"",IF(INDEX('Прайс и заказ'!L:L,$J667)="","",INDEX('Прайс и заказ'!L:L,$J667)))</f>
      </c>
      <c r="I667" s="13" t="str">
        <f>IF($J667=0,"",IF(INDEX('Прайс и заказ'!M:M,$J667)="","",INDEX('Прайс и заказ'!M:M,$J667)))</f>
      </c>
      <c r="J667" t="str">
        <f>IFERROR(MATCH(659,'Прайс и заказ'!$N$7:$N$781,0)+6,0)</f>
      </c>
    </row>
    <row r="668" spans="1:11" customHeight="1" ht="40">
      <c r="A668" s="13" t="str">
        <f>IF($J668=0,"",IFERROR(_xlfn.IMAGE(INDEX('Прайс и заказ'!$O:$O,$J668)),""))</f>
      </c>
      <c r="B668" s="61" t="str">
        <f>IF($J668=0,"",IF(INDEX('Прайс и заказ'!B:B,$J668)="","",INDEX('Прайс и заказ'!B:B,$J668)))</f>
      </c>
      <c r="C668" s="64" t="str">
        <f>IF($J668=0,"",IF(INDEX('Прайс и заказ'!C:C,$J668)="","",INDEX('Прайс и заказ'!C:C,$J668)))</f>
      </c>
      <c r="D668" s="64" t="str">
        <f>IF($J668=0,"",IF(INDEX('Прайс и заказ'!D:D,$J668)="","",INDEX('Прайс и заказ'!D:D,$J668)))</f>
      </c>
      <c r="E668" s="61" t="str">
        <f>IF($J668=0,"",IF(INDEX('Прайс и заказ'!F:F,$J668)="","",INDEX('Прайс и заказ'!F:F,$J668)))</f>
      </c>
      <c r="F668" s="62" t="str">
        <f>IF($J668=0,"",IF(INDEX('Прайс и заказ'!I:I,$J668)="","",INDEX('Прайс и заказ'!I:I,$J668)))</f>
      </c>
      <c r="G668" s="63" t="str">
        <f>IF($J668=0,"",IF(INDEX('Прайс и заказ'!K:K,$J668)="","",INDEX('Прайс и заказ'!K:K,$J668)))</f>
      </c>
      <c r="H668" s="62" t="str">
        <f>IF($J668=0,"",IF(INDEX('Прайс и заказ'!L:L,$J668)="","",INDEX('Прайс и заказ'!L:L,$J668)))</f>
      </c>
      <c r="I668" s="13" t="str">
        <f>IF($J668=0,"",IF(INDEX('Прайс и заказ'!M:M,$J668)="","",INDEX('Прайс и заказ'!M:M,$J668)))</f>
      </c>
      <c r="J668" t="str">
        <f>IFERROR(MATCH(660,'Прайс и заказ'!$N$7:$N$781,0)+6,0)</f>
      </c>
    </row>
    <row r="669" spans="1:11" customHeight="1" ht="40">
      <c r="A669" s="13" t="str">
        <f>IF($J669=0,"",IFERROR(_xlfn.IMAGE(INDEX('Прайс и заказ'!$O:$O,$J669)),""))</f>
      </c>
      <c r="B669" s="61" t="str">
        <f>IF($J669=0,"",IF(INDEX('Прайс и заказ'!B:B,$J669)="","",INDEX('Прайс и заказ'!B:B,$J669)))</f>
      </c>
      <c r="C669" s="64" t="str">
        <f>IF($J669=0,"",IF(INDEX('Прайс и заказ'!C:C,$J669)="","",INDEX('Прайс и заказ'!C:C,$J669)))</f>
      </c>
      <c r="D669" s="64" t="str">
        <f>IF($J669=0,"",IF(INDEX('Прайс и заказ'!D:D,$J669)="","",INDEX('Прайс и заказ'!D:D,$J669)))</f>
      </c>
      <c r="E669" s="61" t="str">
        <f>IF($J669=0,"",IF(INDEX('Прайс и заказ'!F:F,$J669)="","",INDEX('Прайс и заказ'!F:F,$J669)))</f>
      </c>
      <c r="F669" s="62" t="str">
        <f>IF($J669=0,"",IF(INDEX('Прайс и заказ'!I:I,$J669)="","",INDEX('Прайс и заказ'!I:I,$J669)))</f>
      </c>
      <c r="G669" s="63" t="str">
        <f>IF($J669=0,"",IF(INDEX('Прайс и заказ'!K:K,$J669)="","",INDEX('Прайс и заказ'!K:K,$J669)))</f>
      </c>
      <c r="H669" s="62" t="str">
        <f>IF($J669=0,"",IF(INDEX('Прайс и заказ'!L:L,$J669)="","",INDEX('Прайс и заказ'!L:L,$J669)))</f>
      </c>
      <c r="I669" s="13" t="str">
        <f>IF($J669=0,"",IF(INDEX('Прайс и заказ'!M:M,$J669)="","",INDEX('Прайс и заказ'!M:M,$J669)))</f>
      </c>
      <c r="J669" t="str">
        <f>IFERROR(MATCH(661,'Прайс и заказ'!$N$7:$N$781,0)+6,0)</f>
      </c>
    </row>
    <row r="670" spans="1:11" customHeight="1" ht="40">
      <c r="A670" s="13" t="str">
        <f>IF($J670=0,"",IFERROR(_xlfn.IMAGE(INDEX('Прайс и заказ'!$O:$O,$J670)),""))</f>
      </c>
      <c r="B670" s="61" t="str">
        <f>IF($J670=0,"",IF(INDEX('Прайс и заказ'!B:B,$J670)="","",INDEX('Прайс и заказ'!B:B,$J670)))</f>
      </c>
      <c r="C670" s="64" t="str">
        <f>IF($J670=0,"",IF(INDEX('Прайс и заказ'!C:C,$J670)="","",INDEX('Прайс и заказ'!C:C,$J670)))</f>
      </c>
      <c r="D670" s="64" t="str">
        <f>IF($J670=0,"",IF(INDEX('Прайс и заказ'!D:D,$J670)="","",INDEX('Прайс и заказ'!D:D,$J670)))</f>
      </c>
      <c r="E670" s="61" t="str">
        <f>IF($J670=0,"",IF(INDEX('Прайс и заказ'!F:F,$J670)="","",INDEX('Прайс и заказ'!F:F,$J670)))</f>
      </c>
      <c r="F670" s="62" t="str">
        <f>IF($J670=0,"",IF(INDEX('Прайс и заказ'!I:I,$J670)="","",INDEX('Прайс и заказ'!I:I,$J670)))</f>
      </c>
      <c r="G670" s="63" t="str">
        <f>IF($J670=0,"",IF(INDEX('Прайс и заказ'!K:K,$J670)="","",INDEX('Прайс и заказ'!K:K,$J670)))</f>
      </c>
      <c r="H670" s="62" t="str">
        <f>IF($J670=0,"",IF(INDEX('Прайс и заказ'!L:L,$J670)="","",INDEX('Прайс и заказ'!L:L,$J670)))</f>
      </c>
      <c r="I670" s="13" t="str">
        <f>IF($J670=0,"",IF(INDEX('Прайс и заказ'!M:M,$J670)="","",INDEX('Прайс и заказ'!M:M,$J670)))</f>
      </c>
      <c r="J670" t="str">
        <f>IFERROR(MATCH(662,'Прайс и заказ'!$N$7:$N$781,0)+6,0)</f>
      </c>
    </row>
    <row r="671" spans="1:11" customHeight="1" ht="40">
      <c r="A671" s="13" t="str">
        <f>IF($J671=0,"",IFERROR(_xlfn.IMAGE(INDEX('Прайс и заказ'!$O:$O,$J671)),""))</f>
      </c>
      <c r="B671" s="61" t="str">
        <f>IF($J671=0,"",IF(INDEX('Прайс и заказ'!B:B,$J671)="","",INDEX('Прайс и заказ'!B:B,$J671)))</f>
      </c>
      <c r="C671" s="64" t="str">
        <f>IF($J671=0,"",IF(INDEX('Прайс и заказ'!C:C,$J671)="","",INDEX('Прайс и заказ'!C:C,$J671)))</f>
      </c>
      <c r="D671" s="64" t="str">
        <f>IF($J671=0,"",IF(INDEX('Прайс и заказ'!D:D,$J671)="","",INDEX('Прайс и заказ'!D:D,$J671)))</f>
      </c>
      <c r="E671" s="61" t="str">
        <f>IF($J671=0,"",IF(INDEX('Прайс и заказ'!F:F,$J671)="","",INDEX('Прайс и заказ'!F:F,$J671)))</f>
      </c>
      <c r="F671" s="62" t="str">
        <f>IF($J671=0,"",IF(INDEX('Прайс и заказ'!I:I,$J671)="","",INDEX('Прайс и заказ'!I:I,$J671)))</f>
      </c>
      <c r="G671" s="63" t="str">
        <f>IF($J671=0,"",IF(INDEX('Прайс и заказ'!K:K,$J671)="","",INDEX('Прайс и заказ'!K:K,$J671)))</f>
      </c>
      <c r="H671" s="62" t="str">
        <f>IF($J671=0,"",IF(INDEX('Прайс и заказ'!L:L,$J671)="","",INDEX('Прайс и заказ'!L:L,$J671)))</f>
      </c>
      <c r="I671" s="13" t="str">
        <f>IF($J671=0,"",IF(INDEX('Прайс и заказ'!M:M,$J671)="","",INDEX('Прайс и заказ'!M:M,$J671)))</f>
      </c>
      <c r="J671" t="str">
        <f>IFERROR(MATCH(663,'Прайс и заказ'!$N$7:$N$781,0)+6,0)</f>
      </c>
    </row>
    <row r="672" spans="1:11" customHeight="1" ht="40">
      <c r="A672" s="13" t="str">
        <f>IF($J672=0,"",IFERROR(_xlfn.IMAGE(INDEX('Прайс и заказ'!$O:$O,$J672)),""))</f>
      </c>
      <c r="B672" s="61" t="str">
        <f>IF($J672=0,"",IF(INDEX('Прайс и заказ'!B:B,$J672)="","",INDEX('Прайс и заказ'!B:B,$J672)))</f>
      </c>
      <c r="C672" s="64" t="str">
        <f>IF($J672=0,"",IF(INDEX('Прайс и заказ'!C:C,$J672)="","",INDEX('Прайс и заказ'!C:C,$J672)))</f>
      </c>
      <c r="D672" s="64" t="str">
        <f>IF($J672=0,"",IF(INDEX('Прайс и заказ'!D:D,$J672)="","",INDEX('Прайс и заказ'!D:D,$J672)))</f>
      </c>
      <c r="E672" s="61" t="str">
        <f>IF($J672=0,"",IF(INDEX('Прайс и заказ'!F:F,$J672)="","",INDEX('Прайс и заказ'!F:F,$J672)))</f>
      </c>
      <c r="F672" s="62" t="str">
        <f>IF($J672=0,"",IF(INDEX('Прайс и заказ'!I:I,$J672)="","",INDEX('Прайс и заказ'!I:I,$J672)))</f>
      </c>
      <c r="G672" s="63" t="str">
        <f>IF($J672=0,"",IF(INDEX('Прайс и заказ'!K:K,$J672)="","",INDEX('Прайс и заказ'!K:K,$J672)))</f>
      </c>
      <c r="H672" s="62" t="str">
        <f>IF($J672=0,"",IF(INDEX('Прайс и заказ'!L:L,$J672)="","",INDEX('Прайс и заказ'!L:L,$J672)))</f>
      </c>
      <c r="I672" s="13" t="str">
        <f>IF($J672=0,"",IF(INDEX('Прайс и заказ'!M:M,$J672)="","",INDEX('Прайс и заказ'!M:M,$J672)))</f>
      </c>
      <c r="J672" t="str">
        <f>IFERROR(MATCH(664,'Прайс и заказ'!$N$7:$N$781,0)+6,0)</f>
      </c>
    </row>
    <row r="673" spans="1:11" customHeight="1" ht="40">
      <c r="A673" s="13" t="str">
        <f>IF($J673=0,"",IFERROR(_xlfn.IMAGE(INDEX('Прайс и заказ'!$O:$O,$J673)),""))</f>
      </c>
      <c r="B673" s="61" t="str">
        <f>IF($J673=0,"",IF(INDEX('Прайс и заказ'!B:B,$J673)="","",INDEX('Прайс и заказ'!B:B,$J673)))</f>
      </c>
      <c r="C673" s="64" t="str">
        <f>IF($J673=0,"",IF(INDEX('Прайс и заказ'!C:C,$J673)="","",INDEX('Прайс и заказ'!C:C,$J673)))</f>
      </c>
      <c r="D673" s="64" t="str">
        <f>IF($J673=0,"",IF(INDEX('Прайс и заказ'!D:D,$J673)="","",INDEX('Прайс и заказ'!D:D,$J673)))</f>
      </c>
      <c r="E673" s="61" t="str">
        <f>IF($J673=0,"",IF(INDEX('Прайс и заказ'!F:F,$J673)="","",INDEX('Прайс и заказ'!F:F,$J673)))</f>
      </c>
      <c r="F673" s="62" t="str">
        <f>IF($J673=0,"",IF(INDEX('Прайс и заказ'!I:I,$J673)="","",INDEX('Прайс и заказ'!I:I,$J673)))</f>
      </c>
      <c r="G673" s="63" t="str">
        <f>IF($J673=0,"",IF(INDEX('Прайс и заказ'!K:K,$J673)="","",INDEX('Прайс и заказ'!K:K,$J673)))</f>
      </c>
      <c r="H673" s="62" t="str">
        <f>IF($J673=0,"",IF(INDEX('Прайс и заказ'!L:L,$J673)="","",INDEX('Прайс и заказ'!L:L,$J673)))</f>
      </c>
      <c r="I673" s="13" t="str">
        <f>IF($J673=0,"",IF(INDEX('Прайс и заказ'!M:M,$J673)="","",INDEX('Прайс и заказ'!M:M,$J673)))</f>
      </c>
      <c r="J673" t="str">
        <f>IFERROR(MATCH(665,'Прайс и заказ'!$N$7:$N$781,0)+6,0)</f>
      </c>
    </row>
    <row r="674" spans="1:11" customHeight="1" ht="40">
      <c r="A674" s="13" t="str">
        <f>IF($J674=0,"",IFERROR(_xlfn.IMAGE(INDEX('Прайс и заказ'!$O:$O,$J674)),""))</f>
      </c>
      <c r="B674" s="61" t="str">
        <f>IF($J674=0,"",IF(INDEX('Прайс и заказ'!B:B,$J674)="","",INDEX('Прайс и заказ'!B:B,$J674)))</f>
      </c>
      <c r="C674" s="64" t="str">
        <f>IF($J674=0,"",IF(INDEX('Прайс и заказ'!C:C,$J674)="","",INDEX('Прайс и заказ'!C:C,$J674)))</f>
      </c>
      <c r="D674" s="64" t="str">
        <f>IF($J674=0,"",IF(INDEX('Прайс и заказ'!D:D,$J674)="","",INDEX('Прайс и заказ'!D:D,$J674)))</f>
      </c>
      <c r="E674" s="61" t="str">
        <f>IF($J674=0,"",IF(INDEX('Прайс и заказ'!F:F,$J674)="","",INDEX('Прайс и заказ'!F:F,$J674)))</f>
      </c>
      <c r="F674" s="62" t="str">
        <f>IF($J674=0,"",IF(INDEX('Прайс и заказ'!I:I,$J674)="","",INDEX('Прайс и заказ'!I:I,$J674)))</f>
      </c>
      <c r="G674" s="63" t="str">
        <f>IF($J674=0,"",IF(INDEX('Прайс и заказ'!K:K,$J674)="","",INDEX('Прайс и заказ'!K:K,$J674)))</f>
      </c>
      <c r="H674" s="62" t="str">
        <f>IF($J674=0,"",IF(INDEX('Прайс и заказ'!L:L,$J674)="","",INDEX('Прайс и заказ'!L:L,$J674)))</f>
      </c>
      <c r="I674" s="13" t="str">
        <f>IF($J674=0,"",IF(INDEX('Прайс и заказ'!M:M,$J674)="","",INDEX('Прайс и заказ'!M:M,$J674)))</f>
      </c>
      <c r="J674" t="str">
        <f>IFERROR(MATCH(666,'Прайс и заказ'!$N$7:$N$781,0)+6,0)</f>
      </c>
    </row>
    <row r="675" spans="1:11" customHeight="1" ht="40">
      <c r="A675" s="13" t="str">
        <f>IF($J675=0,"",IFERROR(_xlfn.IMAGE(INDEX('Прайс и заказ'!$O:$O,$J675)),""))</f>
      </c>
      <c r="B675" s="61" t="str">
        <f>IF($J675=0,"",IF(INDEX('Прайс и заказ'!B:B,$J675)="","",INDEX('Прайс и заказ'!B:B,$J675)))</f>
      </c>
      <c r="C675" s="64" t="str">
        <f>IF($J675=0,"",IF(INDEX('Прайс и заказ'!C:C,$J675)="","",INDEX('Прайс и заказ'!C:C,$J675)))</f>
      </c>
      <c r="D675" s="64" t="str">
        <f>IF($J675=0,"",IF(INDEX('Прайс и заказ'!D:D,$J675)="","",INDEX('Прайс и заказ'!D:D,$J675)))</f>
      </c>
      <c r="E675" s="61" t="str">
        <f>IF($J675=0,"",IF(INDEX('Прайс и заказ'!F:F,$J675)="","",INDEX('Прайс и заказ'!F:F,$J675)))</f>
      </c>
      <c r="F675" s="62" t="str">
        <f>IF($J675=0,"",IF(INDEX('Прайс и заказ'!I:I,$J675)="","",INDEX('Прайс и заказ'!I:I,$J675)))</f>
      </c>
      <c r="G675" s="63" t="str">
        <f>IF($J675=0,"",IF(INDEX('Прайс и заказ'!K:K,$J675)="","",INDEX('Прайс и заказ'!K:K,$J675)))</f>
      </c>
      <c r="H675" s="62" t="str">
        <f>IF($J675=0,"",IF(INDEX('Прайс и заказ'!L:L,$J675)="","",INDEX('Прайс и заказ'!L:L,$J675)))</f>
      </c>
      <c r="I675" s="13" t="str">
        <f>IF($J675=0,"",IF(INDEX('Прайс и заказ'!M:M,$J675)="","",INDEX('Прайс и заказ'!M:M,$J675)))</f>
      </c>
      <c r="J675" t="str">
        <f>IFERROR(MATCH(667,'Прайс и заказ'!$N$7:$N$781,0)+6,0)</f>
      </c>
    </row>
    <row r="676" spans="1:11" customHeight="1" ht="40">
      <c r="A676" s="13" t="str">
        <f>IF($J676=0,"",IFERROR(_xlfn.IMAGE(INDEX('Прайс и заказ'!$O:$O,$J676)),""))</f>
      </c>
      <c r="B676" s="61" t="str">
        <f>IF($J676=0,"",IF(INDEX('Прайс и заказ'!B:B,$J676)="","",INDEX('Прайс и заказ'!B:B,$J676)))</f>
      </c>
      <c r="C676" s="64" t="str">
        <f>IF($J676=0,"",IF(INDEX('Прайс и заказ'!C:C,$J676)="","",INDEX('Прайс и заказ'!C:C,$J676)))</f>
      </c>
      <c r="D676" s="64" t="str">
        <f>IF($J676=0,"",IF(INDEX('Прайс и заказ'!D:D,$J676)="","",INDEX('Прайс и заказ'!D:D,$J676)))</f>
      </c>
      <c r="E676" s="61" t="str">
        <f>IF($J676=0,"",IF(INDEX('Прайс и заказ'!F:F,$J676)="","",INDEX('Прайс и заказ'!F:F,$J676)))</f>
      </c>
      <c r="F676" s="62" t="str">
        <f>IF($J676=0,"",IF(INDEX('Прайс и заказ'!I:I,$J676)="","",INDEX('Прайс и заказ'!I:I,$J676)))</f>
      </c>
      <c r="G676" s="63" t="str">
        <f>IF($J676=0,"",IF(INDEX('Прайс и заказ'!K:K,$J676)="","",INDEX('Прайс и заказ'!K:K,$J676)))</f>
      </c>
      <c r="H676" s="62" t="str">
        <f>IF($J676=0,"",IF(INDEX('Прайс и заказ'!L:L,$J676)="","",INDEX('Прайс и заказ'!L:L,$J676)))</f>
      </c>
      <c r="I676" s="13" t="str">
        <f>IF($J676=0,"",IF(INDEX('Прайс и заказ'!M:M,$J676)="","",INDEX('Прайс и заказ'!M:M,$J676)))</f>
      </c>
      <c r="J676" t="str">
        <f>IFERROR(MATCH(668,'Прайс и заказ'!$N$7:$N$781,0)+6,0)</f>
      </c>
    </row>
    <row r="677" spans="1:11" customHeight="1" ht="40">
      <c r="A677" s="13" t="str">
        <f>IF($J677=0,"",IFERROR(_xlfn.IMAGE(INDEX('Прайс и заказ'!$O:$O,$J677)),""))</f>
      </c>
      <c r="B677" s="61" t="str">
        <f>IF($J677=0,"",IF(INDEX('Прайс и заказ'!B:B,$J677)="","",INDEX('Прайс и заказ'!B:B,$J677)))</f>
      </c>
      <c r="C677" s="64" t="str">
        <f>IF($J677=0,"",IF(INDEX('Прайс и заказ'!C:C,$J677)="","",INDEX('Прайс и заказ'!C:C,$J677)))</f>
      </c>
      <c r="D677" s="64" t="str">
        <f>IF($J677=0,"",IF(INDEX('Прайс и заказ'!D:D,$J677)="","",INDEX('Прайс и заказ'!D:D,$J677)))</f>
      </c>
      <c r="E677" s="61" t="str">
        <f>IF($J677=0,"",IF(INDEX('Прайс и заказ'!F:F,$J677)="","",INDEX('Прайс и заказ'!F:F,$J677)))</f>
      </c>
      <c r="F677" s="62" t="str">
        <f>IF($J677=0,"",IF(INDEX('Прайс и заказ'!I:I,$J677)="","",INDEX('Прайс и заказ'!I:I,$J677)))</f>
      </c>
      <c r="G677" s="63" t="str">
        <f>IF($J677=0,"",IF(INDEX('Прайс и заказ'!K:K,$J677)="","",INDEX('Прайс и заказ'!K:K,$J677)))</f>
      </c>
      <c r="H677" s="62" t="str">
        <f>IF($J677=0,"",IF(INDEX('Прайс и заказ'!L:L,$J677)="","",INDEX('Прайс и заказ'!L:L,$J677)))</f>
      </c>
      <c r="I677" s="13" t="str">
        <f>IF($J677=0,"",IF(INDEX('Прайс и заказ'!M:M,$J677)="","",INDEX('Прайс и заказ'!M:M,$J677)))</f>
      </c>
      <c r="J677" t="str">
        <f>IFERROR(MATCH(669,'Прайс и заказ'!$N$7:$N$781,0)+6,0)</f>
      </c>
    </row>
    <row r="678" spans="1:11" customHeight="1" ht="40">
      <c r="A678" s="13" t="str">
        <f>IF($J678=0,"",IFERROR(_xlfn.IMAGE(INDEX('Прайс и заказ'!$O:$O,$J678)),""))</f>
      </c>
      <c r="B678" s="61" t="str">
        <f>IF($J678=0,"",IF(INDEX('Прайс и заказ'!B:B,$J678)="","",INDEX('Прайс и заказ'!B:B,$J678)))</f>
      </c>
      <c r="C678" s="64" t="str">
        <f>IF($J678=0,"",IF(INDEX('Прайс и заказ'!C:C,$J678)="","",INDEX('Прайс и заказ'!C:C,$J678)))</f>
      </c>
      <c r="D678" s="64" t="str">
        <f>IF($J678=0,"",IF(INDEX('Прайс и заказ'!D:D,$J678)="","",INDEX('Прайс и заказ'!D:D,$J678)))</f>
      </c>
      <c r="E678" s="61" t="str">
        <f>IF($J678=0,"",IF(INDEX('Прайс и заказ'!F:F,$J678)="","",INDEX('Прайс и заказ'!F:F,$J678)))</f>
      </c>
      <c r="F678" s="62" t="str">
        <f>IF($J678=0,"",IF(INDEX('Прайс и заказ'!I:I,$J678)="","",INDEX('Прайс и заказ'!I:I,$J678)))</f>
      </c>
      <c r="G678" s="63" t="str">
        <f>IF($J678=0,"",IF(INDEX('Прайс и заказ'!K:K,$J678)="","",INDEX('Прайс и заказ'!K:K,$J678)))</f>
      </c>
      <c r="H678" s="62" t="str">
        <f>IF($J678=0,"",IF(INDEX('Прайс и заказ'!L:L,$J678)="","",INDEX('Прайс и заказ'!L:L,$J678)))</f>
      </c>
      <c r="I678" s="13" t="str">
        <f>IF($J678=0,"",IF(INDEX('Прайс и заказ'!M:M,$J678)="","",INDEX('Прайс и заказ'!M:M,$J678)))</f>
      </c>
      <c r="J678" t="str">
        <f>IFERROR(MATCH(670,'Прайс и заказ'!$N$7:$N$781,0)+6,0)</f>
      </c>
    </row>
    <row r="679" spans="1:11" customHeight="1" ht="40">
      <c r="A679" s="13" t="str">
        <f>IF($J679=0,"",IFERROR(_xlfn.IMAGE(INDEX('Прайс и заказ'!$O:$O,$J679)),""))</f>
      </c>
      <c r="B679" s="61" t="str">
        <f>IF($J679=0,"",IF(INDEX('Прайс и заказ'!B:B,$J679)="","",INDEX('Прайс и заказ'!B:B,$J679)))</f>
      </c>
      <c r="C679" s="64" t="str">
        <f>IF($J679=0,"",IF(INDEX('Прайс и заказ'!C:C,$J679)="","",INDEX('Прайс и заказ'!C:C,$J679)))</f>
      </c>
      <c r="D679" s="64" t="str">
        <f>IF($J679=0,"",IF(INDEX('Прайс и заказ'!D:D,$J679)="","",INDEX('Прайс и заказ'!D:D,$J679)))</f>
      </c>
      <c r="E679" s="61" t="str">
        <f>IF($J679=0,"",IF(INDEX('Прайс и заказ'!F:F,$J679)="","",INDEX('Прайс и заказ'!F:F,$J679)))</f>
      </c>
      <c r="F679" s="62" t="str">
        <f>IF($J679=0,"",IF(INDEX('Прайс и заказ'!I:I,$J679)="","",INDEX('Прайс и заказ'!I:I,$J679)))</f>
      </c>
      <c r="G679" s="63" t="str">
        <f>IF($J679=0,"",IF(INDEX('Прайс и заказ'!K:K,$J679)="","",INDEX('Прайс и заказ'!K:K,$J679)))</f>
      </c>
      <c r="H679" s="62" t="str">
        <f>IF($J679=0,"",IF(INDEX('Прайс и заказ'!L:L,$J679)="","",INDEX('Прайс и заказ'!L:L,$J679)))</f>
      </c>
      <c r="I679" s="13" t="str">
        <f>IF($J679=0,"",IF(INDEX('Прайс и заказ'!M:M,$J679)="","",INDEX('Прайс и заказ'!M:M,$J679)))</f>
      </c>
      <c r="J679" t="str">
        <f>IFERROR(MATCH(671,'Прайс и заказ'!$N$7:$N$781,0)+6,0)</f>
      </c>
    </row>
    <row r="680" spans="1:11" customHeight="1" ht="40">
      <c r="A680" s="13" t="str">
        <f>IF($J680=0,"",IFERROR(_xlfn.IMAGE(INDEX('Прайс и заказ'!$O:$O,$J680)),""))</f>
      </c>
      <c r="B680" s="61" t="str">
        <f>IF($J680=0,"",IF(INDEX('Прайс и заказ'!B:B,$J680)="","",INDEX('Прайс и заказ'!B:B,$J680)))</f>
      </c>
      <c r="C680" s="64" t="str">
        <f>IF($J680=0,"",IF(INDEX('Прайс и заказ'!C:C,$J680)="","",INDEX('Прайс и заказ'!C:C,$J680)))</f>
      </c>
      <c r="D680" s="64" t="str">
        <f>IF($J680=0,"",IF(INDEX('Прайс и заказ'!D:D,$J680)="","",INDEX('Прайс и заказ'!D:D,$J680)))</f>
      </c>
      <c r="E680" s="61" t="str">
        <f>IF($J680=0,"",IF(INDEX('Прайс и заказ'!F:F,$J680)="","",INDEX('Прайс и заказ'!F:F,$J680)))</f>
      </c>
      <c r="F680" s="62" t="str">
        <f>IF($J680=0,"",IF(INDEX('Прайс и заказ'!I:I,$J680)="","",INDEX('Прайс и заказ'!I:I,$J680)))</f>
      </c>
      <c r="G680" s="63" t="str">
        <f>IF($J680=0,"",IF(INDEX('Прайс и заказ'!K:K,$J680)="","",INDEX('Прайс и заказ'!K:K,$J680)))</f>
      </c>
      <c r="H680" s="62" t="str">
        <f>IF($J680=0,"",IF(INDEX('Прайс и заказ'!L:L,$J680)="","",INDEX('Прайс и заказ'!L:L,$J680)))</f>
      </c>
      <c r="I680" s="13" t="str">
        <f>IF($J680=0,"",IF(INDEX('Прайс и заказ'!M:M,$J680)="","",INDEX('Прайс и заказ'!M:M,$J680)))</f>
      </c>
      <c r="J680" t="str">
        <f>IFERROR(MATCH(672,'Прайс и заказ'!$N$7:$N$781,0)+6,0)</f>
      </c>
    </row>
    <row r="681" spans="1:11" customHeight="1" ht="40">
      <c r="A681" s="13" t="str">
        <f>IF($J681=0,"",IFERROR(_xlfn.IMAGE(INDEX('Прайс и заказ'!$O:$O,$J681)),""))</f>
      </c>
      <c r="B681" s="61" t="str">
        <f>IF($J681=0,"",IF(INDEX('Прайс и заказ'!B:B,$J681)="","",INDEX('Прайс и заказ'!B:B,$J681)))</f>
      </c>
      <c r="C681" s="64" t="str">
        <f>IF($J681=0,"",IF(INDEX('Прайс и заказ'!C:C,$J681)="","",INDEX('Прайс и заказ'!C:C,$J681)))</f>
      </c>
      <c r="D681" s="64" t="str">
        <f>IF($J681=0,"",IF(INDEX('Прайс и заказ'!D:D,$J681)="","",INDEX('Прайс и заказ'!D:D,$J681)))</f>
      </c>
      <c r="E681" s="61" t="str">
        <f>IF($J681=0,"",IF(INDEX('Прайс и заказ'!F:F,$J681)="","",INDEX('Прайс и заказ'!F:F,$J681)))</f>
      </c>
      <c r="F681" s="62" t="str">
        <f>IF($J681=0,"",IF(INDEX('Прайс и заказ'!I:I,$J681)="","",INDEX('Прайс и заказ'!I:I,$J681)))</f>
      </c>
      <c r="G681" s="63" t="str">
        <f>IF($J681=0,"",IF(INDEX('Прайс и заказ'!K:K,$J681)="","",INDEX('Прайс и заказ'!K:K,$J681)))</f>
      </c>
      <c r="H681" s="62" t="str">
        <f>IF($J681=0,"",IF(INDEX('Прайс и заказ'!L:L,$J681)="","",INDEX('Прайс и заказ'!L:L,$J681)))</f>
      </c>
      <c r="I681" s="13" t="str">
        <f>IF($J681=0,"",IF(INDEX('Прайс и заказ'!M:M,$J681)="","",INDEX('Прайс и заказ'!M:M,$J681)))</f>
      </c>
      <c r="J681" t="str">
        <f>IFERROR(MATCH(673,'Прайс и заказ'!$N$7:$N$781,0)+6,0)</f>
      </c>
    </row>
    <row r="682" spans="1:11" customHeight="1" ht="40">
      <c r="A682" s="13" t="str">
        <f>IF($J682=0,"",IFERROR(_xlfn.IMAGE(INDEX('Прайс и заказ'!$O:$O,$J682)),""))</f>
      </c>
      <c r="B682" s="61" t="str">
        <f>IF($J682=0,"",IF(INDEX('Прайс и заказ'!B:B,$J682)="","",INDEX('Прайс и заказ'!B:B,$J682)))</f>
      </c>
      <c r="C682" s="64" t="str">
        <f>IF($J682=0,"",IF(INDEX('Прайс и заказ'!C:C,$J682)="","",INDEX('Прайс и заказ'!C:C,$J682)))</f>
      </c>
      <c r="D682" s="64" t="str">
        <f>IF($J682=0,"",IF(INDEX('Прайс и заказ'!D:D,$J682)="","",INDEX('Прайс и заказ'!D:D,$J682)))</f>
      </c>
      <c r="E682" s="61" t="str">
        <f>IF($J682=0,"",IF(INDEX('Прайс и заказ'!F:F,$J682)="","",INDEX('Прайс и заказ'!F:F,$J682)))</f>
      </c>
      <c r="F682" s="62" t="str">
        <f>IF($J682=0,"",IF(INDEX('Прайс и заказ'!I:I,$J682)="","",INDEX('Прайс и заказ'!I:I,$J682)))</f>
      </c>
      <c r="G682" s="63" t="str">
        <f>IF($J682=0,"",IF(INDEX('Прайс и заказ'!K:K,$J682)="","",INDEX('Прайс и заказ'!K:K,$J682)))</f>
      </c>
      <c r="H682" s="62" t="str">
        <f>IF($J682=0,"",IF(INDEX('Прайс и заказ'!L:L,$J682)="","",INDEX('Прайс и заказ'!L:L,$J682)))</f>
      </c>
      <c r="I682" s="13" t="str">
        <f>IF($J682=0,"",IF(INDEX('Прайс и заказ'!M:M,$J682)="","",INDEX('Прайс и заказ'!M:M,$J682)))</f>
      </c>
      <c r="J682" t="str">
        <f>IFERROR(MATCH(674,'Прайс и заказ'!$N$7:$N$781,0)+6,0)</f>
      </c>
    </row>
    <row r="683" spans="1:11" customHeight="1" ht="40">
      <c r="A683" s="13" t="str">
        <f>IF($J683=0,"",IFERROR(_xlfn.IMAGE(INDEX('Прайс и заказ'!$O:$O,$J683)),""))</f>
      </c>
      <c r="B683" s="61" t="str">
        <f>IF($J683=0,"",IF(INDEX('Прайс и заказ'!B:B,$J683)="","",INDEX('Прайс и заказ'!B:B,$J683)))</f>
      </c>
      <c r="C683" s="64" t="str">
        <f>IF($J683=0,"",IF(INDEX('Прайс и заказ'!C:C,$J683)="","",INDEX('Прайс и заказ'!C:C,$J683)))</f>
      </c>
      <c r="D683" s="64" t="str">
        <f>IF($J683=0,"",IF(INDEX('Прайс и заказ'!D:D,$J683)="","",INDEX('Прайс и заказ'!D:D,$J683)))</f>
      </c>
      <c r="E683" s="61" t="str">
        <f>IF($J683=0,"",IF(INDEX('Прайс и заказ'!F:F,$J683)="","",INDEX('Прайс и заказ'!F:F,$J683)))</f>
      </c>
      <c r="F683" s="62" t="str">
        <f>IF($J683=0,"",IF(INDEX('Прайс и заказ'!I:I,$J683)="","",INDEX('Прайс и заказ'!I:I,$J683)))</f>
      </c>
      <c r="G683" s="63" t="str">
        <f>IF($J683=0,"",IF(INDEX('Прайс и заказ'!K:K,$J683)="","",INDEX('Прайс и заказ'!K:K,$J683)))</f>
      </c>
      <c r="H683" s="62" t="str">
        <f>IF($J683=0,"",IF(INDEX('Прайс и заказ'!L:L,$J683)="","",INDEX('Прайс и заказ'!L:L,$J683)))</f>
      </c>
      <c r="I683" s="13" t="str">
        <f>IF($J683=0,"",IF(INDEX('Прайс и заказ'!M:M,$J683)="","",INDEX('Прайс и заказ'!M:M,$J683)))</f>
      </c>
      <c r="J683" t="str">
        <f>IFERROR(MATCH(675,'Прайс и заказ'!$N$7:$N$781,0)+6,0)</f>
      </c>
    </row>
    <row r="684" spans="1:11" customHeight="1" ht="40">
      <c r="A684" s="13" t="str">
        <f>IF($J684=0,"",IFERROR(_xlfn.IMAGE(INDEX('Прайс и заказ'!$O:$O,$J684)),""))</f>
      </c>
      <c r="B684" s="61" t="str">
        <f>IF($J684=0,"",IF(INDEX('Прайс и заказ'!B:B,$J684)="","",INDEX('Прайс и заказ'!B:B,$J684)))</f>
      </c>
      <c r="C684" s="64" t="str">
        <f>IF($J684=0,"",IF(INDEX('Прайс и заказ'!C:C,$J684)="","",INDEX('Прайс и заказ'!C:C,$J684)))</f>
      </c>
      <c r="D684" s="64" t="str">
        <f>IF($J684=0,"",IF(INDEX('Прайс и заказ'!D:D,$J684)="","",INDEX('Прайс и заказ'!D:D,$J684)))</f>
      </c>
      <c r="E684" s="61" t="str">
        <f>IF($J684=0,"",IF(INDEX('Прайс и заказ'!F:F,$J684)="","",INDEX('Прайс и заказ'!F:F,$J684)))</f>
      </c>
      <c r="F684" s="62" t="str">
        <f>IF($J684=0,"",IF(INDEX('Прайс и заказ'!I:I,$J684)="","",INDEX('Прайс и заказ'!I:I,$J684)))</f>
      </c>
      <c r="G684" s="63" t="str">
        <f>IF($J684=0,"",IF(INDEX('Прайс и заказ'!K:K,$J684)="","",INDEX('Прайс и заказ'!K:K,$J684)))</f>
      </c>
      <c r="H684" s="62" t="str">
        <f>IF($J684=0,"",IF(INDEX('Прайс и заказ'!L:L,$J684)="","",INDEX('Прайс и заказ'!L:L,$J684)))</f>
      </c>
      <c r="I684" s="13" t="str">
        <f>IF($J684=0,"",IF(INDEX('Прайс и заказ'!M:M,$J684)="","",INDEX('Прайс и заказ'!M:M,$J684)))</f>
      </c>
      <c r="J684" t="str">
        <f>IFERROR(MATCH(676,'Прайс и заказ'!$N$7:$N$781,0)+6,0)</f>
      </c>
    </row>
    <row r="685" spans="1:11" customHeight="1" ht="40">
      <c r="A685" s="13" t="str">
        <f>IF($J685=0,"",IFERROR(_xlfn.IMAGE(INDEX('Прайс и заказ'!$O:$O,$J685)),""))</f>
      </c>
      <c r="B685" s="61" t="str">
        <f>IF($J685=0,"",IF(INDEX('Прайс и заказ'!B:B,$J685)="","",INDEX('Прайс и заказ'!B:B,$J685)))</f>
      </c>
      <c r="C685" s="64" t="str">
        <f>IF($J685=0,"",IF(INDEX('Прайс и заказ'!C:C,$J685)="","",INDEX('Прайс и заказ'!C:C,$J685)))</f>
      </c>
      <c r="D685" s="64" t="str">
        <f>IF($J685=0,"",IF(INDEX('Прайс и заказ'!D:D,$J685)="","",INDEX('Прайс и заказ'!D:D,$J685)))</f>
      </c>
      <c r="E685" s="61" t="str">
        <f>IF($J685=0,"",IF(INDEX('Прайс и заказ'!F:F,$J685)="","",INDEX('Прайс и заказ'!F:F,$J685)))</f>
      </c>
      <c r="F685" s="62" t="str">
        <f>IF($J685=0,"",IF(INDEX('Прайс и заказ'!I:I,$J685)="","",INDEX('Прайс и заказ'!I:I,$J685)))</f>
      </c>
      <c r="G685" s="63" t="str">
        <f>IF($J685=0,"",IF(INDEX('Прайс и заказ'!K:K,$J685)="","",INDEX('Прайс и заказ'!K:K,$J685)))</f>
      </c>
      <c r="H685" s="62" t="str">
        <f>IF($J685=0,"",IF(INDEX('Прайс и заказ'!L:L,$J685)="","",INDEX('Прайс и заказ'!L:L,$J685)))</f>
      </c>
      <c r="I685" s="13" t="str">
        <f>IF($J685=0,"",IF(INDEX('Прайс и заказ'!M:M,$J685)="","",INDEX('Прайс и заказ'!M:M,$J685)))</f>
      </c>
      <c r="J685" t="str">
        <f>IFERROR(MATCH(677,'Прайс и заказ'!$N$7:$N$781,0)+6,0)</f>
      </c>
    </row>
    <row r="686" spans="1:11" customHeight="1" ht="40">
      <c r="A686" s="13" t="str">
        <f>IF($J686=0,"",IFERROR(_xlfn.IMAGE(INDEX('Прайс и заказ'!$O:$O,$J686)),""))</f>
      </c>
      <c r="B686" s="61" t="str">
        <f>IF($J686=0,"",IF(INDEX('Прайс и заказ'!B:B,$J686)="","",INDEX('Прайс и заказ'!B:B,$J686)))</f>
      </c>
      <c r="C686" s="64" t="str">
        <f>IF($J686=0,"",IF(INDEX('Прайс и заказ'!C:C,$J686)="","",INDEX('Прайс и заказ'!C:C,$J686)))</f>
      </c>
      <c r="D686" s="64" t="str">
        <f>IF($J686=0,"",IF(INDEX('Прайс и заказ'!D:D,$J686)="","",INDEX('Прайс и заказ'!D:D,$J686)))</f>
      </c>
      <c r="E686" s="61" t="str">
        <f>IF($J686=0,"",IF(INDEX('Прайс и заказ'!F:F,$J686)="","",INDEX('Прайс и заказ'!F:F,$J686)))</f>
      </c>
      <c r="F686" s="62" t="str">
        <f>IF($J686=0,"",IF(INDEX('Прайс и заказ'!I:I,$J686)="","",INDEX('Прайс и заказ'!I:I,$J686)))</f>
      </c>
      <c r="G686" s="63" t="str">
        <f>IF($J686=0,"",IF(INDEX('Прайс и заказ'!K:K,$J686)="","",INDEX('Прайс и заказ'!K:K,$J686)))</f>
      </c>
      <c r="H686" s="62" t="str">
        <f>IF($J686=0,"",IF(INDEX('Прайс и заказ'!L:L,$J686)="","",INDEX('Прайс и заказ'!L:L,$J686)))</f>
      </c>
      <c r="I686" s="13" t="str">
        <f>IF($J686=0,"",IF(INDEX('Прайс и заказ'!M:M,$J686)="","",INDEX('Прайс и заказ'!M:M,$J686)))</f>
      </c>
      <c r="J686" t="str">
        <f>IFERROR(MATCH(678,'Прайс и заказ'!$N$7:$N$781,0)+6,0)</f>
      </c>
    </row>
    <row r="687" spans="1:11" customHeight="1" ht="40">
      <c r="A687" s="13" t="str">
        <f>IF($J687=0,"",IFERROR(_xlfn.IMAGE(INDEX('Прайс и заказ'!$O:$O,$J687)),""))</f>
      </c>
      <c r="B687" s="61" t="str">
        <f>IF($J687=0,"",IF(INDEX('Прайс и заказ'!B:B,$J687)="","",INDEX('Прайс и заказ'!B:B,$J687)))</f>
      </c>
      <c r="C687" s="64" t="str">
        <f>IF($J687=0,"",IF(INDEX('Прайс и заказ'!C:C,$J687)="","",INDEX('Прайс и заказ'!C:C,$J687)))</f>
      </c>
      <c r="D687" s="64" t="str">
        <f>IF($J687=0,"",IF(INDEX('Прайс и заказ'!D:D,$J687)="","",INDEX('Прайс и заказ'!D:D,$J687)))</f>
      </c>
      <c r="E687" s="61" t="str">
        <f>IF($J687=0,"",IF(INDEX('Прайс и заказ'!F:F,$J687)="","",INDEX('Прайс и заказ'!F:F,$J687)))</f>
      </c>
      <c r="F687" s="62" t="str">
        <f>IF($J687=0,"",IF(INDEX('Прайс и заказ'!I:I,$J687)="","",INDEX('Прайс и заказ'!I:I,$J687)))</f>
      </c>
      <c r="G687" s="63" t="str">
        <f>IF($J687=0,"",IF(INDEX('Прайс и заказ'!K:K,$J687)="","",INDEX('Прайс и заказ'!K:K,$J687)))</f>
      </c>
      <c r="H687" s="62" t="str">
        <f>IF($J687=0,"",IF(INDEX('Прайс и заказ'!L:L,$J687)="","",INDEX('Прайс и заказ'!L:L,$J687)))</f>
      </c>
      <c r="I687" s="13" t="str">
        <f>IF($J687=0,"",IF(INDEX('Прайс и заказ'!M:M,$J687)="","",INDEX('Прайс и заказ'!M:M,$J687)))</f>
      </c>
      <c r="J687" t="str">
        <f>IFERROR(MATCH(679,'Прайс и заказ'!$N$7:$N$781,0)+6,0)</f>
      </c>
    </row>
    <row r="688" spans="1:11" customHeight="1" ht="40">
      <c r="A688" s="13" t="str">
        <f>IF($J688=0,"",IFERROR(_xlfn.IMAGE(INDEX('Прайс и заказ'!$O:$O,$J688)),""))</f>
      </c>
      <c r="B688" s="61" t="str">
        <f>IF($J688=0,"",IF(INDEX('Прайс и заказ'!B:B,$J688)="","",INDEX('Прайс и заказ'!B:B,$J688)))</f>
      </c>
      <c r="C688" s="64" t="str">
        <f>IF($J688=0,"",IF(INDEX('Прайс и заказ'!C:C,$J688)="","",INDEX('Прайс и заказ'!C:C,$J688)))</f>
      </c>
      <c r="D688" s="64" t="str">
        <f>IF($J688=0,"",IF(INDEX('Прайс и заказ'!D:D,$J688)="","",INDEX('Прайс и заказ'!D:D,$J688)))</f>
      </c>
      <c r="E688" s="61" t="str">
        <f>IF($J688=0,"",IF(INDEX('Прайс и заказ'!F:F,$J688)="","",INDEX('Прайс и заказ'!F:F,$J688)))</f>
      </c>
      <c r="F688" s="62" t="str">
        <f>IF($J688=0,"",IF(INDEX('Прайс и заказ'!I:I,$J688)="","",INDEX('Прайс и заказ'!I:I,$J688)))</f>
      </c>
      <c r="G688" s="63" t="str">
        <f>IF($J688=0,"",IF(INDEX('Прайс и заказ'!K:K,$J688)="","",INDEX('Прайс и заказ'!K:K,$J688)))</f>
      </c>
      <c r="H688" s="62" t="str">
        <f>IF($J688=0,"",IF(INDEX('Прайс и заказ'!L:L,$J688)="","",INDEX('Прайс и заказ'!L:L,$J688)))</f>
      </c>
      <c r="I688" s="13" t="str">
        <f>IF($J688=0,"",IF(INDEX('Прайс и заказ'!M:M,$J688)="","",INDEX('Прайс и заказ'!M:M,$J688)))</f>
      </c>
      <c r="J688" t="str">
        <f>IFERROR(MATCH(680,'Прайс и заказ'!$N$7:$N$781,0)+6,0)</f>
      </c>
    </row>
    <row r="689" spans="1:11" customHeight="1" ht="40">
      <c r="A689" s="13" t="str">
        <f>IF($J689=0,"",IFERROR(_xlfn.IMAGE(INDEX('Прайс и заказ'!$O:$O,$J689)),""))</f>
      </c>
      <c r="B689" s="61" t="str">
        <f>IF($J689=0,"",IF(INDEX('Прайс и заказ'!B:B,$J689)="","",INDEX('Прайс и заказ'!B:B,$J689)))</f>
      </c>
      <c r="C689" s="64" t="str">
        <f>IF($J689=0,"",IF(INDEX('Прайс и заказ'!C:C,$J689)="","",INDEX('Прайс и заказ'!C:C,$J689)))</f>
      </c>
      <c r="D689" s="64" t="str">
        <f>IF($J689=0,"",IF(INDEX('Прайс и заказ'!D:D,$J689)="","",INDEX('Прайс и заказ'!D:D,$J689)))</f>
      </c>
      <c r="E689" s="61" t="str">
        <f>IF($J689=0,"",IF(INDEX('Прайс и заказ'!F:F,$J689)="","",INDEX('Прайс и заказ'!F:F,$J689)))</f>
      </c>
      <c r="F689" s="62" t="str">
        <f>IF($J689=0,"",IF(INDEX('Прайс и заказ'!I:I,$J689)="","",INDEX('Прайс и заказ'!I:I,$J689)))</f>
      </c>
      <c r="G689" s="63" t="str">
        <f>IF($J689=0,"",IF(INDEX('Прайс и заказ'!K:K,$J689)="","",INDEX('Прайс и заказ'!K:K,$J689)))</f>
      </c>
      <c r="H689" s="62" t="str">
        <f>IF($J689=0,"",IF(INDEX('Прайс и заказ'!L:L,$J689)="","",INDEX('Прайс и заказ'!L:L,$J689)))</f>
      </c>
      <c r="I689" s="13" t="str">
        <f>IF($J689=0,"",IF(INDEX('Прайс и заказ'!M:M,$J689)="","",INDEX('Прайс и заказ'!M:M,$J689)))</f>
      </c>
      <c r="J689" t="str">
        <f>IFERROR(MATCH(681,'Прайс и заказ'!$N$7:$N$781,0)+6,0)</f>
      </c>
    </row>
    <row r="690" spans="1:11" customHeight="1" ht="40">
      <c r="A690" s="13" t="str">
        <f>IF($J690=0,"",IFERROR(_xlfn.IMAGE(INDEX('Прайс и заказ'!$O:$O,$J690)),""))</f>
      </c>
      <c r="B690" s="61" t="str">
        <f>IF($J690=0,"",IF(INDEX('Прайс и заказ'!B:B,$J690)="","",INDEX('Прайс и заказ'!B:B,$J690)))</f>
      </c>
      <c r="C690" s="64" t="str">
        <f>IF($J690=0,"",IF(INDEX('Прайс и заказ'!C:C,$J690)="","",INDEX('Прайс и заказ'!C:C,$J690)))</f>
      </c>
      <c r="D690" s="64" t="str">
        <f>IF($J690=0,"",IF(INDEX('Прайс и заказ'!D:D,$J690)="","",INDEX('Прайс и заказ'!D:D,$J690)))</f>
      </c>
      <c r="E690" s="61" t="str">
        <f>IF($J690=0,"",IF(INDEX('Прайс и заказ'!F:F,$J690)="","",INDEX('Прайс и заказ'!F:F,$J690)))</f>
      </c>
      <c r="F690" s="62" t="str">
        <f>IF($J690=0,"",IF(INDEX('Прайс и заказ'!I:I,$J690)="","",INDEX('Прайс и заказ'!I:I,$J690)))</f>
      </c>
      <c r="G690" s="63" t="str">
        <f>IF($J690=0,"",IF(INDEX('Прайс и заказ'!K:K,$J690)="","",INDEX('Прайс и заказ'!K:K,$J690)))</f>
      </c>
      <c r="H690" s="62" t="str">
        <f>IF($J690=0,"",IF(INDEX('Прайс и заказ'!L:L,$J690)="","",INDEX('Прайс и заказ'!L:L,$J690)))</f>
      </c>
      <c r="I690" s="13" t="str">
        <f>IF($J690=0,"",IF(INDEX('Прайс и заказ'!M:M,$J690)="","",INDEX('Прайс и заказ'!M:M,$J690)))</f>
      </c>
      <c r="J690" t="str">
        <f>IFERROR(MATCH(682,'Прайс и заказ'!$N$7:$N$781,0)+6,0)</f>
      </c>
    </row>
    <row r="691" spans="1:11" customHeight="1" ht="40">
      <c r="A691" s="13" t="str">
        <f>IF($J691=0,"",IFERROR(_xlfn.IMAGE(INDEX('Прайс и заказ'!$O:$O,$J691)),""))</f>
      </c>
      <c r="B691" s="61" t="str">
        <f>IF($J691=0,"",IF(INDEX('Прайс и заказ'!B:B,$J691)="","",INDEX('Прайс и заказ'!B:B,$J691)))</f>
      </c>
      <c r="C691" s="64" t="str">
        <f>IF($J691=0,"",IF(INDEX('Прайс и заказ'!C:C,$J691)="","",INDEX('Прайс и заказ'!C:C,$J691)))</f>
      </c>
      <c r="D691" s="64" t="str">
        <f>IF($J691=0,"",IF(INDEX('Прайс и заказ'!D:D,$J691)="","",INDEX('Прайс и заказ'!D:D,$J691)))</f>
      </c>
      <c r="E691" s="61" t="str">
        <f>IF($J691=0,"",IF(INDEX('Прайс и заказ'!F:F,$J691)="","",INDEX('Прайс и заказ'!F:F,$J691)))</f>
      </c>
      <c r="F691" s="62" t="str">
        <f>IF($J691=0,"",IF(INDEX('Прайс и заказ'!I:I,$J691)="","",INDEX('Прайс и заказ'!I:I,$J691)))</f>
      </c>
      <c r="G691" s="63" t="str">
        <f>IF($J691=0,"",IF(INDEX('Прайс и заказ'!K:K,$J691)="","",INDEX('Прайс и заказ'!K:K,$J691)))</f>
      </c>
      <c r="H691" s="62" t="str">
        <f>IF($J691=0,"",IF(INDEX('Прайс и заказ'!L:L,$J691)="","",INDEX('Прайс и заказ'!L:L,$J691)))</f>
      </c>
      <c r="I691" s="13" t="str">
        <f>IF($J691=0,"",IF(INDEX('Прайс и заказ'!M:M,$J691)="","",INDEX('Прайс и заказ'!M:M,$J691)))</f>
      </c>
      <c r="J691" t="str">
        <f>IFERROR(MATCH(683,'Прайс и заказ'!$N$7:$N$781,0)+6,0)</f>
      </c>
    </row>
    <row r="692" spans="1:11" customHeight="1" ht="40">
      <c r="A692" s="13" t="str">
        <f>IF($J692=0,"",IFERROR(_xlfn.IMAGE(INDEX('Прайс и заказ'!$O:$O,$J692)),""))</f>
      </c>
      <c r="B692" s="61" t="str">
        <f>IF($J692=0,"",IF(INDEX('Прайс и заказ'!B:B,$J692)="","",INDEX('Прайс и заказ'!B:B,$J692)))</f>
      </c>
      <c r="C692" s="64" t="str">
        <f>IF($J692=0,"",IF(INDEX('Прайс и заказ'!C:C,$J692)="","",INDEX('Прайс и заказ'!C:C,$J692)))</f>
      </c>
      <c r="D692" s="64" t="str">
        <f>IF($J692=0,"",IF(INDEX('Прайс и заказ'!D:D,$J692)="","",INDEX('Прайс и заказ'!D:D,$J692)))</f>
      </c>
      <c r="E692" s="61" t="str">
        <f>IF($J692=0,"",IF(INDEX('Прайс и заказ'!F:F,$J692)="","",INDEX('Прайс и заказ'!F:F,$J692)))</f>
      </c>
      <c r="F692" s="62" t="str">
        <f>IF($J692=0,"",IF(INDEX('Прайс и заказ'!I:I,$J692)="","",INDEX('Прайс и заказ'!I:I,$J692)))</f>
      </c>
      <c r="G692" s="63" t="str">
        <f>IF($J692=0,"",IF(INDEX('Прайс и заказ'!K:K,$J692)="","",INDEX('Прайс и заказ'!K:K,$J692)))</f>
      </c>
      <c r="H692" s="62" t="str">
        <f>IF($J692=0,"",IF(INDEX('Прайс и заказ'!L:L,$J692)="","",INDEX('Прайс и заказ'!L:L,$J692)))</f>
      </c>
      <c r="I692" s="13" t="str">
        <f>IF($J692=0,"",IF(INDEX('Прайс и заказ'!M:M,$J692)="","",INDEX('Прайс и заказ'!M:M,$J692)))</f>
      </c>
      <c r="J692" t="str">
        <f>IFERROR(MATCH(684,'Прайс и заказ'!$N$7:$N$781,0)+6,0)</f>
      </c>
    </row>
    <row r="693" spans="1:11" customHeight="1" ht="40">
      <c r="A693" s="13" t="str">
        <f>IF($J693=0,"",IFERROR(_xlfn.IMAGE(INDEX('Прайс и заказ'!$O:$O,$J693)),""))</f>
      </c>
      <c r="B693" s="61" t="str">
        <f>IF($J693=0,"",IF(INDEX('Прайс и заказ'!B:B,$J693)="","",INDEX('Прайс и заказ'!B:B,$J693)))</f>
      </c>
      <c r="C693" s="64" t="str">
        <f>IF($J693=0,"",IF(INDEX('Прайс и заказ'!C:C,$J693)="","",INDEX('Прайс и заказ'!C:C,$J693)))</f>
      </c>
      <c r="D693" s="64" t="str">
        <f>IF($J693=0,"",IF(INDEX('Прайс и заказ'!D:D,$J693)="","",INDEX('Прайс и заказ'!D:D,$J693)))</f>
      </c>
      <c r="E693" s="61" t="str">
        <f>IF($J693=0,"",IF(INDEX('Прайс и заказ'!F:F,$J693)="","",INDEX('Прайс и заказ'!F:F,$J693)))</f>
      </c>
      <c r="F693" s="62" t="str">
        <f>IF($J693=0,"",IF(INDEX('Прайс и заказ'!I:I,$J693)="","",INDEX('Прайс и заказ'!I:I,$J693)))</f>
      </c>
      <c r="G693" s="63" t="str">
        <f>IF($J693=0,"",IF(INDEX('Прайс и заказ'!K:K,$J693)="","",INDEX('Прайс и заказ'!K:K,$J693)))</f>
      </c>
      <c r="H693" s="62" t="str">
        <f>IF($J693=0,"",IF(INDEX('Прайс и заказ'!L:L,$J693)="","",INDEX('Прайс и заказ'!L:L,$J693)))</f>
      </c>
      <c r="I693" s="13" t="str">
        <f>IF($J693=0,"",IF(INDEX('Прайс и заказ'!M:M,$J693)="","",INDEX('Прайс и заказ'!M:M,$J693)))</f>
      </c>
      <c r="J693" t="str">
        <f>IFERROR(MATCH(685,'Прайс и заказ'!$N$7:$N$781,0)+6,0)</f>
      </c>
    </row>
    <row r="694" spans="1:11" customHeight="1" ht="40">
      <c r="A694" s="13" t="str">
        <f>IF($J694=0,"",IFERROR(_xlfn.IMAGE(INDEX('Прайс и заказ'!$O:$O,$J694)),""))</f>
      </c>
      <c r="B694" s="61" t="str">
        <f>IF($J694=0,"",IF(INDEX('Прайс и заказ'!B:B,$J694)="","",INDEX('Прайс и заказ'!B:B,$J694)))</f>
      </c>
      <c r="C694" s="64" t="str">
        <f>IF($J694=0,"",IF(INDEX('Прайс и заказ'!C:C,$J694)="","",INDEX('Прайс и заказ'!C:C,$J694)))</f>
      </c>
      <c r="D694" s="64" t="str">
        <f>IF($J694=0,"",IF(INDEX('Прайс и заказ'!D:D,$J694)="","",INDEX('Прайс и заказ'!D:D,$J694)))</f>
      </c>
      <c r="E694" s="61" t="str">
        <f>IF($J694=0,"",IF(INDEX('Прайс и заказ'!F:F,$J694)="","",INDEX('Прайс и заказ'!F:F,$J694)))</f>
      </c>
      <c r="F694" s="62" t="str">
        <f>IF($J694=0,"",IF(INDEX('Прайс и заказ'!I:I,$J694)="","",INDEX('Прайс и заказ'!I:I,$J694)))</f>
      </c>
      <c r="G694" s="63" t="str">
        <f>IF($J694=0,"",IF(INDEX('Прайс и заказ'!K:K,$J694)="","",INDEX('Прайс и заказ'!K:K,$J694)))</f>
      </c>
      <c r="H694" s="62" t="str">
        <f>IF($J694=0,"",IF(INDEX('Прайс и заказ'!L:L,$J694)="","",INDEX('Прайс и заказ'!L:L,$J694)))</f>
      </c>
      <c r="I694" s="13" t="str">
        <f>IF($J694=0,"",IF(INDEX('Прайс и заказ'!M:M,$J694)="","",INDEX('Прайс и заказ'!M:M,$J694)))</f>
      </c>
      <c r="J694" t="str">
        <f>IFERROR(MATCH(686,'Прайс и заказ'!$N$7:$N$781,0)+6,0)</f>
      </c>
    </row>
    <row r="695" spans="1:11" customHeight="1" ht="40">
      <c r="A695" s="13" t="str">
        <f>IF($J695=0,"",IFERROR(_xlfn.IMAGE(INDEX('Прайс и заказ'!$O:$O,$J695)),""))</f>
      </c>
      <c r="B695" s="61" t="str">
        <f>IF($J695=0,"",IF(INDEX('Прайс и заказ'!B:B,$J695)="","",INDEX('Прайс и заказ'!B:B,$J695)))</f>
      </c>
      <c r="C695" s="64" t="str">
        <f>IF($J695=0,"",IF(INDEX('Прайс и заказ'!C:C,$J695)="","",INDEX('Прайс и заказ'!C:C,$J695)))</f>
      </c>
      <c r="D695" s="64" t="str">
        <f>IF($J695=0,"",IF(INDEX('Прайс и заказ'!D:D,$J695)="","",INDEX('Прайс и заказ'!D:D,$J695)))</f>
      </c>
      <c r="E695" s="61" t="str">
        <f>IF($J695=0,"",IF(INDEX('Прайс и заказ'!F:F,$J695)="","",INDEX('Прайс и заказ'!F:F,$J695)))</f>
      </c>
      <c r="F695" s="62" t="str">
        <f>IF($J695=0,"",IF(INDEX('Прайс и заказ'!I:I,$J695)="","",INDEX('Прайс и заказ'!I:I,$J695)))</f>
      </c>
      <c r="G695" s="63" t="str">
        <f>IF($J695=0,"",IF(INDEX('Прайс и заказ'!K:K,$J695)="","",INDEX('Прайс и заказ'!K:K,$J695)))</f>
      </c>
      <c r="H695" s="62" t="str">
        <f>IF($J695=0,"",IF(INDEX('Прайс и заказ'!L:L,$J695)="","",INDEX('Прайс и заказ'!L:L,$J695)))</f>
      </c>
      <c r="I695" s="13" t="str">
        <f>IF($J695=0,"",IF(INDEX('Прайс и заказ'!M:M,$J695)="","",INDEX('Прайс и заказ'!M:M,$J695)))</f>
      </c>
      <c r="J695" t="str">
        <f>IFERROR(MATCH(687,'Прайс и заказ'!$N$7:$N$781,0)+6,0)</f>
      </c>
    </row>
    <row r="696" spans="1:11" customHeight="1" ht="40">
      <c r="A696" s="13" t="str">
        <f>IF($J696=0,"",IFERROR(_xlfn.IMAGE(INDEX('Прайс и заказ'!$O:$O,$J696)),""))</f>
      </c>
      <c r="B696" s="61" t="str">
        <f>IF($J696=0,"",IF(INDEX('Прайс и заказ'!B:B,$J696)="","",INDEX('Прайс и заказ'!B:B,$J696)))</f>
      </c>
      <c r="C696" s="64" t="str">
        <f>IF($J696=0,"",IF(INDEX('Прайс и заказ'!C:C,$J696)="","",INDEX('Прайс и заказ'!C:C,$J696)))</f>
      </c>
      <c r="D696" s="64" t="str">
        <f>IF($J696=0,"",IF(INDEX('Прайс и заказ'!D:D,$J696)="","",INDEX('Прайс и заказ'!D:D,$J696)))</f>
      </c>
      <c r="E696" s="61" t="str">
        <f>IF($J696=0,"",IF(INDEX('Прайс и заказ'!F:F,$J696)="","",INDEX('Прайс и заказ'!F:F,$J696)))</f>
      </c>
      <c r="F696" s="62" t="str">
        <f>IF($J696=0,"",IF(INDEX('Прайс и заказ'!I:I,$J696)="","",INDEX('Прайс и заказ'!I:I,$J696)))</f>
      </c>
      <c r="G696" s="63" t="str">
        <f>IF($J696=0,"",IF(INDEX('Прайс и заказ'!K:K,$J696)="","",INDEX('Прайс и заказ'!K:K,$J696)))</f>
      </c>
      <c r="H696" s="62" t="str">
        <f>IF($J696=0,"",IF(INDEX('Прайс и заказ'!L:L,$J696)="","",INDEX('Прайс и заказ'!L:L,$J696)))</f>
      </c>
      <c r="I696" s="13" t="str">
        <f>IF($J696=0,"",IF(INDEX('Прайс и заказ'!M:M,$J696)="","",INDEX('Прайс и заказ'!M:M,$J696)))</f>
      </c>
      <c r="J696" t="str">
        <f>IFERROR(MATCH(688,'Прайс и заказ'!$N$7:$N$781,0)+6,0)</f>
      </c>
    </row>
    <row r="697" spans="1:11" customHeight="1" ht="40">
      <c r="A697" s="13" t="str">
        <f>IF($J697=0,"",IFERROR(_xlfn.IMAGE(INDEX('Прайс и заказ'!$O:$O,$J697)),""))</f>
      </c>
      <c r="B697" s="61" t="str">
        <f>IF($J697=0,"",IF(INDEX('Прайс и заказ'!B:B,$J697)="","",INDEX('Прайс и заказ'!B:B,$J697)))</f>
      </c>
      <c r="C697" s="64" t="str">
        <f>IF($J697=0,"",IF(INDEX('Прайс и заказ'!C:C,$J697)="","",INDEX('Прайс и заказ'!C:C,$J697)))</f>
      </c>
      <c r="D697" s="64" t="str">
        <f>IF($J697=0,"",IF(INDEX('Прайс и заказ'!D:D,$J697)="","",INDEX('Прайс и заказ'!D:D,$J697)))</f>
      </c>
      <c r="E697" s="61" t="str">
        <f>IF($J697=0,"",IF(INDEX('Прайс и заказ'!F:F,$J697)="","",INDEX('Прайс и заказ'!F:F,$J697)))</f>
      </c>
      <c r="F697" s="62" t="str">
        <f>IF($J697=0,"",IF(INDEX('Прайс и заказ'!I:I,$J697)="","",INDEX('Прайс и заказ'!I:I,$J697)))</f>
      </c>
      <c r="G697" s="63" t="str">
        <f>IF($J697=0,"",IF(INDEX('Прайс и заказ'!K:K,$J697)="","",INDEX('Прайс и заказ'!K:K,$J697)))</f>
      </c>
      <c r="H697" s="62" t="str">
        <f>IF($J697=0,"",IF(INDEX('Прайс и заказ'!L:L,$J697)="","",INDEX('Прайс и заказ'!L:L,$J697)))</f>
      </c>
      <c r="I697" s="13" t="str">
        <f>IF($J697=0,"",IF(INDEX('Прайс и заказ'!M:M,$J697)="","",INDEX('Прайс и заказ'!M:M,$J697)))</f>
      </c>
      <c r="J697" t="str">
        <f>IFERROR(MATCH(689,'Прайс и заказ'!$N$7:$N$781,0)+6,0)</f>
      </c>
    </row>
    <row r="698" spans="1:11" customHeight="1" ht="40">
      <c r="A698" s="13" t="str">
        <f>IF($J698=0,"",IFERROR(_xlfn.IMAGE(INDEX('Прайс и заказ'!$O:$O,$J698)),""))</f>
      </c>
      <c r="B698" s="61" t="str">
        <f>IF($J698=0,"",IF(INDEX('Прайс и заказ'!B:B,$J698)="","",INDEX('Прайс и заказ'!B:B,$J698)))</f>
      </c>
      <c r="C698" s="64" t="str">
        <f>IF($J698=0,"",IF(INDEX('Прайс и заказ'!C:C,$J698)="","",INDEX('Прайс и заказ'!C:C,$J698)))</f>
      </c>
      <c r="D698" s="64" t="str">
        <f>IF($J698=0,"",IF(INDEX('Прайс и заказ'!D:D,$J698)="","",INDEX('Прайс и заказ'!D:D,$J698)))</f>
      </c>
      <c r="E698" s="61" t="str">
        <f>IF($J698=0,"",IF(INDEX('Прайс и заказ'!F:F,$J698)="","",INDEX('Прайс и заказ'!F:F,$J698)))</f>
      </c>
      <c r="F698" s="62" t="str">
        <f>IF($J698=0,"",IF(INDEX('Прайс и заказ'!I:I,$J698)="","",INDEX('Прайс и заказ'!I:I,$J698)))</f>
      </c>
      <c r="G698" s="63" t="str">
        <f>IF($J698=0,"",IF(INDEX('Прайс и заказ'!K:K,$J698)="","",INDEX('Прайс и заказ'!K:K,$J698)))</f>
      </c>
      <c r="H698" s="62" t="str">
        <f>IF($J698=0,"",IF(INDEX('Прайс и заказ'!L:L,$J698)="","",INDEX('Прайс и заказ'!L:L,$J698)))</f>
      </c>
      <c r="I698" s="13" t="str">
        <f>IF($J698=0,"",IF(INDEX('Прайс и заказ'!M:M,$J698)="","",INDEX('Прайс и заказ'!M:M,$J698)))</f>
      </c>
      <c r="J698" t="str">
        <f>IFERROR(MATCH(690,'Прайс и заказ'!$N$7:$N$781,0)+6,0)</f>
      </c>
    </row>
    <row r="699" spans="1:11" customHeight="1" ht="40">
      <c r="A699" s="13" t="str">
        <f>IF($J699=0,"",IFERROR(_xlfn.IMAGE(INDEX('Прайс и заказ'!$O:$O,$J699)),""))</f>
      </c>
      <c r="B699" s="61" t="str">
        <f>IF($J699=0,"",IF(INDEX('Прайс и заказ'!B:B,$J699)="","",INDEX('Прайс и заказ'!B:B,$J699)))</f>
      </c>
      <c r="C699" s="64" t="str">
        <f>IF($J699=0,"",IF(INDEX('Прайс и заказ'!C:C,$J699)="","",INDEX('Прайс и заказ'!C:C,$J699)))</f>
      </c>
      <c r="D699" s="64" t="str">
        <f>IF($J699=0,"",IF(INDEX('Прайс и заказ'!D:D,$J699)="","",INDEX('Прайс и заказ'!D:D,$J699)))</f>
      </c>
      <c r="E699" s="61" t="str">
        <f>IF($J699=0,"",IF(INDEX('Прайс и заказ'!F:F,$J699)="","",INDEX('Прайс и заказ'!F:F,$J699)))</f>
      </c>
      <c r="F699" s="62" t="str">
        <f>IF($J699=0,"",IF(INDEX('Прайс и заказ'!I:I,$J699)="","",INDEX('Прайс и заказ'!I:I,$J699)))</f>
      </c>
      <c r="G699" s="63" t="str">
        <f>IF($J699=0,"",IF(INDEX('Прайс и заказ'!K:K,$J699)="","",INDEX('Прайс и заказ'!K:K,$J699)))</f>
      </c>
      <c r="H699" s="62" t="str">
        <f>IF($J699=0,"",IF(INDEX('Прайс и заказ'!L:L,$J699)="","",INDEX('Прайс и заказ'!L:L,$J699)))</f>
      </c>
      <c r="I699" s="13" t="str">
        <f>IF($J699=0,"",IF(INDEX('Прайс и заказ'!M:M,$J699)="","",INDEX('Прайс и заказ'!M:M,$J699)))</f>
      </c>
      <c r="J699" t="str">
        <f>IFERROR(MATCH(691,'Прайс и заказ'!$N$7:$N$781,0)+6,0)</f>
      </c>
    </row>
    <row r="700" spans="1:11" customHeight="1" ht="40">
      <c r="A700" s="13" t="str">
        <f>IF($J700=0,"",IFERROR(_xlfn.IMAGE(INDEX('Прайс и заказ'!$O:$O,$J700)),""))</f>
      </c>
      <c r="B700" s="61" t="str">
        <f>IF($J700=0,"",IF(INDEX('Прайс и заказ'!B:B,$J700)="","",INDEX('Прайс и заказ'!B:B,$J700)))</f>
      </c>
      <c r="C700" s="64" t="str">
        <f>IF($J700=0,"",IF(INDEX('Прайс и заказ'!C:C,$J700)="","",INDEX('Прайс и заказ'!C:C,$J700)))</f>
      </c>
      <c r="D700" s="64" t="str">
        <f>IF($J700=0,"",IF(INDEX('Прайс и заказ'!D:D,$J700)="","",INDEX('Прайс и заказ'!D:D,$J700)))</f>
      </c>
      <c r="E700" s="61" t="str">
        <f>IF($J700=0,"",IF(INDEX('Прайс и заказ'!F:F,$J700)="","",INDEX('Прайс и заказ'!F:F,$J700)))</f>
      </c>
      <c r="F700" s="62" t="str">
        <f>IF($J700=0,"",IF(INDEX('Прайс и заказ'!I:I,$J700)="","",INDEX('Прайс и заказ'!I:I,$J700)))</f>
      </c>
      <c r="G700" s="63" t="str">
        <f>IF($J700=0,"",IF(INDEX('Прайс и заказ'!K:K,$J700)="","",INDEX('Прайс и заказ'!K:K,$J700)))</f>
      </c>
      <c r="H700" s="62" t="str">
        <f>IF($J700=0,"",IF(INDEX('Прайс и заказ'!L:L,$J700)="","",INDEX('Прайс и заказ'!L:L,$J700)))</f>
      </c>
      <c r="I700" s="13" t="str">
        <f>IF($J700=0,"",IF(INDEX('Прайс и заказ'!M:M,$J700)="","",INDEX('Прайс и заказ'!M:M,$J700)))</f>
      </c>
      <c r="J700" t="str">
        <f>IFERROR(MATCH(692,'Прайс и заказ'!$N$7:$N$781,0)+6,0)</f>
      </c>
    </row>
    <row r="701" spans="1:11" customHeight="1" ht="40">
      <c r="A701" s="13" t="str">
        <f>IF($J701=0,"",IFERROR(_xlfn.IMAGE(INDEX('Прайс и заказ'!$O:$O,$J701)),""))</f>
      </c>
      <c r="B701" s="61" t="str">
        <f>IF($J701=0,"",IF(INDEX('Прайс и заказ'!B:B,$J701)="","",INDEX('Прайс и заказ'!B:B,$J701)))</f>
      </c>
      <c r="C701" s="64" t="str">
        <f>IF($J701=0,"",IF(INDEX('Прайс и заказ'!C:C,$J701)="","",INDEX('Прайс и заказ'!C:C,$J701)))</f>
      </c>
      <c r="D701" s="64" t="str">
        <f>IF($J701=0,"",IF(INDEX('Прайс и заказ'!D:D,$J701)="","",INDEX('Прайс и заказ'!D:D,$J701)))</f>
      </c>
      <c r="E701" s="61" t="str">
        <f>IF($J701=0,"",IF(INDEX('Прайс и заказ'!F:F,$J701)="","",INDEX('Прайс и заказ'!F:F,$J701)))</f>
      </c>
      <c r="F701" s="62" t="str">
        <f>IF($J701=0,"",IF(INDEX('Прайс и заказ'!I:I,$J701)="","",INDEX('Прайс и заказ'!I:I,$J701)))</f>
      </c>
      <c r="G701" s="63" t="str">
        <f>IF($J701=0,"",IF(INDEX('Прайс и заказ'!K:K,$J701)="","",INDEX('Прайс и заказ'!K:K,$J701)))</f>
      </c>
      <c r="H701" s="62" t="str">
        <f>IF($J701=0,"",IF(INDEX('Прайс и заказ'!L:L,$J701)="","",INDEX('Прайс и заказ'!L:L,$J701)))</f>
      </c>
      <c r="I701" s="13" t="str">
        <f>IF($J701=0,"",IF(INDEX('Прайс и заказ'!M:M,$J701)="","",INDEX('Прайс и заказ'!M:M,$J701)))</f>
      </c>
      <c r="J701" t="str">
        <f>IFERROR(MATCH(693,'Прайс и заказ'!$N$7:$N$781,0)+6,0)</f>
      </c>
    </row>
    <row r="702" spans="1:11" customHeight="1" ht="40">
      <c r="A702" s="13" t="str">
        <f>IF($J702=0,"",IFERROR(_xlfn.IMAGE(INDEX('Прайс и заказ'!$O:$O,$J702)),""))</f>
      </c>
      <c r="B702" s="61" t="str">
        <f>IF($J702=0,"",IF(INDEX('Прайс и заказ'!B:B,$J702)="","",INDEX('Прайс и заказ'!B:B,$J702)))</f>
      </c>
      <c r="C702" s="64" t="str">
        <f>IF($J702=0,"",IF(INDEX('Прайс и заказ'!C:C,$J702)="","",INDEX('Прайс и заказ'!C:C,$J702)))</f>
      </c>
      <c r="D702" s="64" t="str">
        <f>IF($J702=0,"",IF(INDEX('Прайс и заказ'!D:D,$J702)="","",INDEX('Прайс и заказ'!D:D,$J702)))</f>
      </c>
      <c r="E702" s="61" t="str">
        <f>IF($J702=0,"",IF(INDEX('Прайс и заказ'!F:F,$J702)="","",INDEX('Прайс и заказ'!F:F,$J702)))</f>
      </c>
      <c r="F702" s="62" t="str">
        <f>IF($J702=0,"",IF(INDEX('Прайс и заказ'!I:I,$J702)="","",INDEX('Прайс и заказ'!I:I,$J702)))</f>
      </c>
      <c r="G702" s="63" t="str">
        <f>IF($J702=0,"",IF(INDEX('Прайс и заказ'!K:K,$J702)="","",INDEX('Прайс и заказ'!K:K,$J702)))</f>
      </c>
      <c r="H702" s="62" t="str">
        <f>IF($J702=0,"",IF(INDEX('Прайс и заказ'!L:L,$J702)="","",INDEX('Прайс и заказ'!L:L,$J702)))</f>
      </c>
      <c r="I702" s="13" t="str">
        <f>IF($J702=0,"",IF(INDEX('Прайс и заказ'!M:M,$J702)="","",INDEX('Прайс и заказ'!M:M,$J702)))</f>
      </c>
      <c r="J702" t="str">
        <f>IFERROR(MATCH(694,'Прайс и заказ'!$N$7:$N$781,0)+6,0)</f>
      </c>
    </row>
    <row r="703" spans="1:11" customHeight="1" ht="40">
      <c r="A703" s="13" t="str">
        <f>IF($J703=0,"",IFERROR(_xlfn.IMAGE(INDEX('Прайс и заказ'!$O:$O,$J703)),""))</f>
      </c>
      <c r="B703" s="61" t="str">
        <f>IF($J703=0,"",IF(INDEX('Прайс и заказ'!B:B,$J703)="","",INDEX('Прайс и заказ'!B:B,$J703)))</f>
      </c>
      <c r="C703" s="64" t="str">
        <f>IF($J703=0,"",IF(INDEX('Прайс и заказ'!C:C,$J703)="","",INDEX('Прайс и заказ'!C:C,$J703)))</f>
      </c>
      <c r="D703" s="64" t="str">
        <f>IF($J703=0,"",IF(INDEX('Прайс и заказ'!D:D,$J703)="","",INDEX('Прайс и заказ'!D:D,$J703)))</f>
      </c>
      <c r="E703" s="61" t="str">
        <f>IF($J703=0,"",IF(INDEX('Прайс и заказ'!F:F,$J703)="","",INDEX('Прайс и заказ'!F:F,$J703)))</f>
      </c>
      <c r="F703" s="62" t="str">
        <f>IF($J703=0,"",IF(INDEX('Прайс и заказ'!I:I,$J703)="","",INDEX('Прайс и заказ'!I:I,$J703)))</f>
      </c>
      <c r="G703" s="63" t="str">
        <f>IF($J703=0,"",IF(INDEX('Прайс и заказ'!K:K,$J703)="","",INDEX('Прайс и заказ'!K:K,$J703)))</f>
      </c>
      <c r="H703" s="62" t="str">
        <f>IF($J703=0,"",IF(INDEX('Прайс и заказ'!L:L,$J703)="","",INDEX('Прайс и заказ'!L:L,$J703)))</f>
      </c>
      <c r="I703" s="13" t="str">
        <f>IF($J703=0,"",IF(INDEX('Прайс и заказ'!M:M,$J703)="","",INDEX('Прайс и заказ'!M:M,$J703)))</f>
      </c>
      <c r="J703" t="str">
        <f>IFERROR(MATCH(695,'Прайс и заказ'!$N$7:$N$781,0)+6,0)</f>
      </c>
    </row>
    <row r="704" spans="1:11" customHeight="1" ht="40">
      <c r="A704" s="13" t="str">
        <f>IF($J704=0,"",IFERROR(_xlfn.IMAGE(INDEX('Прайс и заказ'!$O:$O,$J704)),""))</f>
      </c>
      <c r="B704" s="61" t="str">
        <f>IF($J704=0,"",IF(INDEX('Прайс и заказ'!B:B,$J704)="","",INDEX('Прайс и заказ'!B:B,$J704)))</f>
      </c>
      <c r="C704" s="64" t="str">
        <f>IF($J704=0,"",IF(INDEX('Прайс и заказ'!C:C,$J704)="","",INDEX('Прайс и заказ'!C:C,$J704)))</f>
      </c>
      <c r="D704" s="64" t="str">
        <f>IF($J704=0,"",IF(INDEX('Прайс и заказ'!D:D,$J704)="","",INDEX('Прайс и заказ'!D:D,$J704)))</f>
      </c>
      <c r="E704" s="61" t="str">
        <f>IF($J704=0,"",IF(INDEX('Прайс и заказ'!F:F,$J704)="","",INDEX('Прайс и заказ'!F:F,$J704)))</f>
      </c>
      <c r="F704" s="62" t="str">
        <f>IF($J704=0,"",IF(INDEX('Прайс и заказ'!I:I,$J704)="","",INDEX('Прайс и заказ'!I:I,$J704)))</f>
      </c>
      <c r="G704" s="63" t="str">
        <f>IF($J704=0,"",IF(INDEX('Прайс и заказ'!K:K,$J704)="","",INDEX('Прайс и заказ'!K:K,$J704)))</f>
      </c>
      <c r="H704" s="62" t="str">
        <f>IF($J704=0,"",IF(INDEX('Прайс и заказ'!L:L,$J704)="","",INDEX('Прайс и заказ'!L:L,$J704)))</f>
      </c>
      <c r="I704" s="13" t="str">
        <f>IF($J704=0,"",IF(INDEX('Прайс и заказ'!M:M,$J704)="","",INDEX('Прайс и заказ'!M:M,$J704)))</f>
      </c>
      <c r="J704" t="str">
        <f>IFERROR(MATCH(696,'Прайс и заказ'!$N$7:$N$781,0)+6,0)</f>
      </c>
    </row>
    <row r="705" spans="1:11" customHeight="1" ht="40">
      <c r="A705" s="13" t="str">
        <f>IF($J705=0,"",IFERROR(_xlfn.IMAGE(INDEX('Прайс и заказ'!$O:$O,$J705)),""))</f>
      </c>
      <c r="B705" s="61" t="str">
        <f>IF($J705=0,"",IF(INDEX('Прайс и заказ'!B:B,$J705)="","",INDEX('Прайс и заказ'!B:B,$J705)))</f>
      </c>
      <c r="C705" s="64" t="str">
        <f>IF($J705=0,"",IF(INDEX('Прайс и заказ'!C:C,$J705)="","",INDEX('Прайс и заказ'!C:C,$J705)))</f>
      </c>
      <c r="D705" s="64" t="str">
        <f>IF($J705=0,"",IF(INDEX('Прайс и заказ'!D:D,$J705)="","",INDEX('Прайс и заказ'!D:D,$J705)))</f>
      </c>
      <c r="E705" s="61" t="str">
        <f>IF($J705=0,"",IF(INDEX('Прайс и заказ'!F:F,$J705)="","",INDEX('Прайс и заказ'!F:F,$J705)))</f>
      </c>
      <c r="F705" s="62" t="str">
        <f>IF($J705=0,"",IF(INDEX('Прайс и заказ'!I:I,$J705)="","",INDEX('Прайс и заказ'!I:I,$J705)))</f>
      </c>
      <c r="G705" s="63" t="str">
        <f>IF($J705=0,"",IF(INDEX('Прайс и заказ'!K:K,$J705)="","",INDEX('Прайс и заказ'!K:K,$J705)))</f>
      </c>
      <c r="H705" s="62" t="str">
        <f>IF($J705=0,"",IF(INDEX('Прайс и заказ'!L:L,$J705)="","",INDEX('Прайс и заказ'!L:L,$J705)))</f>
      </c>
      <c r="I705" s="13" t="str">
        <f>IF($J705=0,"",IF(INDEX('Прайс и заказ'!M:M,$J705)="","",INDEX('Прайс и заказ'!M:M,$J705)))</f>
      </c>
      <c r="J705" t="str">
        <f>IFERROR(MATCH(697,'Прайс и заказ'!$N$7:$N$781,0)+6,0)</f>
      </c>
    </row>
    <row r="706" spans="1:11" customHeight="1" ht="40">
      <c r="A706" s="13" t="str">
        <f>IF($J706=0,"",IFERROR(_xlfn.IMAGE(INDEX('Прайс и заказ'!$O:$O,$J706)),""))</f>
      </c>
      <c r="B706" s="61" t="str">
        <f>IF($J706=0,"",IF(INDEX('Прайс и заказ'!B:B,$J706)="","",INDEX('Прайс и заказ'!B:B,$J706)))</f>
      </c>
      <c r="C706" s="64" t="str">
        <f>IF($J706=0,"",IF(INDEX('Прайс и заказ'!C:C,$J706)="","",INDEX('Прайс и заказ'!C:C,$J706)))</f>
      </c>
      <c r="D706" s="64" t="str">
        <f>IF($J706=0,"",IF(INDEX('Прайс и заказ'!D:D,$J706)="","",INDEX('Прайс и заказ'!D:D,$J706)))</f>
      </c>
      <c r="E706" s="61" t="str">
        <f>IF($J706=0,"",IF(INDEX('Прайс и заказ'!F:F,$J706)="","",INDEX('Прайс и заказ'!F:F,$J706)))</f>
      </c>
      <c r="F706" s="62" t="str">
        <f>IF($J706=0,"",IF(INDEX('Прайс и заказ'!I:I,$J706)="","",INDEX('Прайс и заказ'!I:I,$J706)))</f>
      </c>
      <c r="G706" s="63" t="str">
        <f>IF($J706=0,"",IF(INDEX('Прайс и заказ'!K:K,$J706)="","",INDEX('Прайс и заказ'!K:K,$J706)))</f>
      </c>
      <c r="H706" s="62" t="str">
        <f>IF($J706=0,"",IF(INDEX('Прайс и заказ'!L:L,$J706)="","",INDEX('Прайс и заказ'!L:L,$J706)))</f>
      </c>
      <c r="I706" s="13" t="str">
        <f>IF($J706=0,"",IF(INDEX('Прайс и заказ'!M:M,$J706)="","",INDEX('Прайс и заказ'!M:M,$J706)))</f>
      </c>
      <c r="J706" t="str">
        <f>IFERROR(MATCH(698,'Прайс и заказ'!$N$7:$N$781,0)+6,0)</f>
      </c>
    </row>
    <row r="707" spans="1:11" customHeight="1" ht="40">
      <c r="A707" s="13" t="str">
        <f>IF($J707=0,"",IFERROR(_xlfn.IMAGE(INDEX('Прайс и заказ'!$O:$O,$J707)),""))</f>
      </c>
      <c r="B707" s="61" t="str">
        <f>IF($J707=0,"",IF(INDEX('Прайс и заказ'!B:B,$J707)="","",INDEX('Прайс и заказ'!B:B,$J707)))</f>
      </c>
      <c r="C707" s="64" t="str">
        <f>IF($J707=0,"",IF(INDEX('Прайс и заказ'!C:C,$J707)="","",INDEX('Прайс и заказ'!C:C,$J707)))</f>
      </c>
      <c r="D707" s="64" t="str">
        <f>IF($J707=0,"",IF(INDEX('Прайс и заказ'!D:D,$J707)="","",INDEX('Прайс и заказ'!D:D,$J707)))</f>
      </c>
      <c r="E707" s="61" t="str">
        <f>IF($J707=0,"",IF(INDEX('Прайс и заказ'!F:F,$J707)="","",INDEX('Прайс и заказ'!F:F,$J707)))</f>
      </c>
      <c r="F707" s="62" t="str">
        <f>IF($J707=0,"",IF(INDEX('Прайс и заказ'!I:I,$J707)="","",INDEX('Прайс и заказ'!I:I,$J707)))</f>
      </c>
      <c r="G707" s="63" t="str">
        <f>IF($J707=0,"",IF(INDEX('Прайс и заказ'!K:K,$J707)="","",INDEX('Прайс и заказ'!K:K,$J707)))</f>
      </c>
      <c r="H707" s="62" t="str">
        <f>IF($J707=0,"",IF(INDEX('Прайс и заказ'!L:L,$J707)="","",INDEX('Прайс и заказ'!L:L,$J707)))</f>
      </c>
      <c r="I707" s="13" t="str">
        <f>IF($J707=0,"",IF(INDEX('Прайс и заказ'!M:M,$J707)="","",INDEX('Прайс и заказ'!M:M,$J707)))</f>
      </c>
      <c r="J707" t="str">
        <f>IFERROR(MATCH(699,'Прайс и заказ'!$N$7:$N$781,0)+6,0)</f>
      </c>
    </row>
    <row r="708" spans="1:11" customHeight="1" ht="40">
      <c r="A708" s="13" t="str">
        <f>IF($J708=0,"",IFERROR(_xlfn.IMAGE(INDEX('Прайс и заказ'!$O:$O,$J708)),""))</f>
      </c>
      <c r="B708" s="61" t="str">
        <f>IF($J708=0,"",IF(INDEX('Прайс и заказ'!B:B,$J708)="","",INDEX('Прайс и заказ'!B:B,$J708)))</f>
      </c>
      <c r="C708" s="64" t="str">
        <f>IF($J708=0,"",IF(INDEX('Прайс и заказ'!C:C,$J708)="","",INDEX('Прайс и заказ'!C:C,$J708)))</f>
      </c>
      <c r="D708" s="64" t="str">
        <f>IF($J708=0,"",IF(INDEX('Прайс и заказ'!D:D,$J708)="","",INDEX('Прайс и заказ'!D:D,$J708)))</f>
      </c>
      <c r="E708" s="61" t="str">
        <f>IF($J708=0,"",IF(INDEX('Прайс и заказ'!F:F,$J708)="","",INDEX('Прайс и заказ'!F:F,$J708)))</f>
      </c>
      <c r="F708" s="62" t="str">
        <f>IF($J708=0,"",IF(INDEX('Прайс и заказ'!I:I,$J708)="","",INDEX('Прайс и заказ'!I:I,$J708)))</f>
      </c>
      <c r="G708" s="63" t="str">
        <f>IF($J708=0,"",IF(INDEX('Прайс и заказ'!K:K,$J708)="","",INDEX('Прайс и заказ'!K:K,$J708)))</f>
      </c>
      <c r="H708" s="62" t="str">
        <f>IF($J708=0,"",IF(INDEX('Прайс и заказ'!L:L,$J708)="","",INDEX('Прайс и заказ'!L:L,$J708)))</f>
      </c>
      <c r="I708" s="13" t="str">
        <f>IF($J708=0,"",IF(INDEX('Прайс и заказ'!M:M,$J708)="","",INDEX('Прайс и заказ'!M:M,$J708)))</f>
      </c>
      <c r="J708" t="str">
        <f>IFERROR(MATCH(700,'Прайс и заказ'!$N$7:$N$781,0)+6,0)</f>
      </c>
    </row>
    <row r="709" spans="1:11" customHeight="1" ht="40">
      <c r="A709" s="13" t="str">
        <f>IF($J709=0,"",IFERROR(_xlfn.IMAGE(INDEX('Прайс и заказ'!$O:$O,$J709)),""))</f>
      </c>
      <c r="B709" s="61" t="str">
        <f>IF($J709=0,"",IF(INDEX('Прайс и заказ'!B:B,$J709)="","",INDEX('Прайс и заказ'!B:B,$J709)))</f>
      </c>
      <c r="C709" s="64" t="str">
        <f>IF($J709=0,"",IF(INDEX('Прайс и заказ'!C:C,$J709)="","",INDEX('Прайс и заказ'!C:C,$J709)))</f>
      </c>
      <c r="D709" s="64" t="str">
        <f>IF($J709=0,"",IF(INDEX('Прайс и заказ'!D:D,$J709)="","",INDEX('Прайс и заказ'!D:D,$J709)))</f>
      </c>
      <c r="E709" s="61" t="str">
        <f>IF($J709=0,"",IF(INDEX('Прайс и заказ'!F:F,$J709)="","",INDEX('Прайс и заказ'!F:F,$J709)))</f>
      </c>
      <c r="F709" s="62" t="str">
        <f>IF($J709=0,"",IF(INDEX('Прайс и заказ'!I:I,$J709)="","",INDEX('Прайс и заказ'!I:I,$J709)))</f>
      </c>
      <c r="G709" s="63" t="str">
        <f>IF($J709=0,"",IF(INDEX('Прайс и заказ'!K:K,$J709)="","",INDEX('Прайс и заказ'!K:K,$J709)))</f>
      </c>
      <c r="H709" s="62" t="str">
        <f>IF($J709=0,"",IF(INDEX('Прайс и заказ'!L:L,$J709)="","",INDEX('Прайс и заказ'!L:L,$J709)))</f>
      </c>
      <c r="I709" s="13" t="str">
        <f>IF($J709=0,"",IF(INDEX('Прайс и заказ'!M:M,$J709)="","",INDEX('Прайс и заказ'!M:M,$J709)))</f>
      </c>
      <c r="J709" t="str">
        <f>IFERROR(MATCH(701,'Прайс и заказ'!$N$7:$N$781,0)+6,0)</f>
      </c>
    </row>
    <row r="710" spans="1:11" customHeight="1" ht="40">
      <c r="A710" s="13" t="str">
        <f>IF($J710=0,"",IFERROR(_xlfn.IMAGE(INDEX('Прайс и заказ'!$O:$O,$J710)),""))</f>
      </c>
      <c r="B710" s="61" t="str">
        <f>IF($J710=0,"",IF(INDEX('Прайс и заказ'!B:B,$J710)="","",INDEX('Прайс и заказ'!B:B,$J710)))</f>
      </c>
      <c r="C710" s="64" t="str">
        <f>IF($J710=0,"",IF(INDEX('Прайс и заказ'!C:C,$J710)="","",INDEX('Прайс и заказ'!C:C,$J710)))</f>
      </c>
      <c r="D710" s="64" t="str">
        <f>IF($J710=0,"",IF(INDEX('Прайс и заказ'!D:D,$J710)="","",INDEX('Прайс и заказ'!D:D,$J710)))</f>
      </c>
      <c r="E710" s="61" t="str">
        <f>IF($J710=0,"",IF(INDEX('Прайс и заказ'!F:F,$J710)="","",INDEX('Прайс и заказ'!F:F,$J710)))</f>
      </c>
      <c r="F710" s="62" t="str">
        <f>IF($J710=0,"",IF(INDEX('Прайс и заказ'!I:I,$J710)="","",INDEX('Прайс и заказ'!I:I,$J710)))</f>
      </c>
      <c r="G710" s="63" t="str">
        <f>IF($J710=0,"",IF(INDEX('Прайс и заказ'!K:K,$J710)="","",INDEX('Прайс и заказ'!K:K,$J710)))</f>
      </c>
      <c r="H710" s="62" t="str">
        <f>IF($J710=0,"",IF(INDEX('Прайс и заказ'!L:L,$J710)="","",INDEX('Прайс и заказ'!L:L,$J710)))</f>
      </c>
      <c r="I710" s="13" t="str">
        <f>IF($J710=0,"",IF(INDEX('Прайс и заказ'!M:M,$J710)="","",INDEX('Прайс и заказ'!M:M,$J710)))</f>
      </c>
      <c r="J710" t="str">
        <f>IFERROR(MATCH(702,'Прайс и заказ'!$N$7:$N$781,0)+6,0)</f>
      </c>
    </row>
    <row r="711" spans="1:11" customHeight="1" ht="40">
      <c r="A711" s="13" t="str">
        <f>IF($J711=0,"",IFERROR(_xlfn.IMAGE(INDEX('Прайс и заказ'!$O:$O,$J711)),""))</f>
      </c>
      <c r="B711" s="61" t="str">
        <f>IF($J711=0,"",IF(INDEX('Прайс и заказ'!B:B,$J711)="","",INDEX('Прайс и заказ'!B:B,$J711)))</f>
      </c>
      <c r="C711" s="64" t="str">
        <f>IF($J711=0,"",IF(INDEX('Прайс и заказ'!C:C,$J711)="","",INDEX('Прайс и заказ'!C:C,$J711)))</f>
      </c>
      <c r="D711" s="64" t="str">
        <f>IF($J711=0,"",IF(INDEX('Прайс и заказ'!D:D,$J711)="","",INDEX('Прайс и заказ'!D:D,$J711)))</f>
      </c>
      <c r="E711" s="61" t="str">
        <f>IF($J711=0,"",IF(INDEX('Прайс и заказ'!F:F,$J711)="","",INDEX('Прайс и заказ'!F:F,$J711)))</f>
      </c>
      <c r="F711" s="62" t="str">
        <f>IF($J711=0,"",IF(INDEX('Прайс и заказ'!I:I,$J711)="","",INDEX('Прайс и заказ'!I:I,$J711)))</f>
      </c>
      <c r="G711" s="63" t="str">
        <f>IF($J711=0,"",IF(INDEX('Прайс и заказ'!K:K,$J711)="","",INDEX('Прайс и заказ'!K:K,$J711)))</f>
      </c>
      <c r="H711" s="62" t="str">
        <f>IF($J711=0,"",IF(INDEX('Прайс и заказ'!L:L,$J711)="","",INDEX('Прайс и заказ'!L:L,$J711)))</f>
      </c>
      <c r="I711" s="13" t="str">
        <f>IF($J711=0,"",IF(INDEX('Прайс и заказ'!M:M,$J711)="","",INDEX('Прайс и заказ'!M:M,$J711)))</f>
      </c>
      <c r="J711" t="str">
        <f>IFERROR(MATCH(703,'Прайс и заказ'!$N$7:$N$781,0)+6,0)</f>
      </c>
    </row>
    <row r="712" spans="1:11" customHeight="1" ht="40">
      <c r="A712" s="13" t="str">
        <f>IF($J712=0,"",IFERROR(_xlfn.IMAGE(INDEX('Прайс и заказ'!$O:$O,$J712)),""))</f>
      </c>
      <c r="B712" s="61" t="str">
        <f>IF($J712=0,"",IF(INDEX('Прайс и заказ'!B:B,$J712)="","",INDEX('Прайс и заказ'!B:B,$J712)))</f>
      </c>
      <c r="C712" s="64" t="str">
        <f>IF($J712=0,"",IF(INDEX('Прайс и заказ'!C:C,$J712)="","",INDEX('Прайс и заказ'!C:C,$J712)))</f>
      </c>
      <c r="D712" s="64" t="str">
        <f>IF($J712=0,"",IF(INDEX('Прайс и заказ'!D:D,$J712)="","",INDEX('Прайс и заказ'!D:D,$J712)))</f>
      </c>
      <c r="E712" s="61" t="str">
        <f>IF($J712=0,"",IF(INDEX('Прайс и заказ'!F:F,$J712)="","",INDEX('Прайс и заказ'!F:F,$J712)))</f>
      </c>
      <c r="F712" s="62" t="str">
        <f>IF($J712=0,"",IF(INDEX('Прайс и заказ'!I:I,$J712)="","",INDEX('Прайс и заказ'!I:I,$J712)))</f>
      </c>
      <c r="G712" s="63" t="str">
        <f>IF($J712=0,"",IF(INDEX('Прайс и заказ'!K:K,$J712)="","",INDEX('Прайс и заказ'!K:K,$J712)))</f>
      </c>
      <c r="H712" s="62" t="str">
        <f>IF($J712=0,"",IF(INDEX('Прайс и заказ'!L:L,$J712)="","",INDEX('Прайс и заказ'!L:L,$J712)))</f>
      </c>
      <c r="I712" s="13" t="str">
        <f>IF($J712=0,"",IF(INDEX('Прайс и заказ'!M:M,$J712)="","",INDEX('Прайс и заказ'!M:M,$J712)))</f>
      </c>
      <c r="J712" t="str">
        <f>IFERROR(MATCH(704,'Прайс и заказ'!$N$7:$N$781,0)+6,0)</f>
      </c>
    </row>
    <row r="713" spans="1:11" customHeight="1" ht="40">
      <c r="A713" s="13" t="str">
        <f>IF($J713=0,"",IFERROR(_xlfn.IMAGE(INDEX('Прайс и заказ'!$O:$O,$J713)),""))</f>
      </c>
      <c r="B713" s="61" t="str">
        <f>IF($J713=0,"",IF(INDEX('Прайс и заказ'!B:B,$J713)="","",INDEX('Прайс и заказ'!B:B,$J713)))</f>
      </c>
      <c r="C713" s="64" t="str">
        <f>IF($J713=0,"",IF(INDEX('Прайс и заказ'!C:C,$J713)="","",INDEX('Прайс и заказ'!C:C,$J713)))</f>
      </c>
      <c r="D713" s="64" t="str">
        <f>IF($J713=0,"",IF(INDEX('Прайс и заказ'!D:D,$J713)="","",INDEX('Прайс и заказ'!D:D,$J713)))</f>
      </c>
      <c r="E713" s="61" t="str">
        <f>IF($J713=0,"",IF(INDEX('Прайс и заказ'!F:F,$J713)="","",INDEX('Прайс и заказ'!F:F,$J713)))</f>
      </c>
      <c r="F713" s="62" t="str">
        <f>IF($J713=0,"",IF(INDEX('Прайс и заказ'!I:I,$J713)="","",INDEX('Прайс и заказ'!I:I,$J713)))</f>
      </c>
      <c r="G713" s="63" t="str">
        <f>IF($J713=0,"",IF(INDEX('Прайс и заказ'!K:K,$J713)="","",INDEX('Прайс и заказ'!K:K,$J713)))</f>
      </c>
      <c r="H713" s="62" t="str">
        <f>IF($J713=0,"",IF(INDEX('Прайс и заказ'!L:L,$J713)="","",INDEX('Прайс и заказ'!L:L,$J713)))</f>
      </c>
      <c r="I713" s="13" t="str">
        <f>IF($J713=0,"",IF(INDEX('Прайс и заказ'!M:M,$J713)="","",INDEX('Прайс и заказ'!M:M,$J713)))</f>
      </c>
      <c r="J713" t="str">
        <f>IFERROR(MATCH(705,'Прайс и заказ'!$N$7:$N$781,0)+6,0)</f>
      </c>
    </row>
    <row r="714" spans="1:11" customHeight="1" ht="40">
      <c r="A714" s="13" t="str">
        <f>IF($J714=0,"",IFERROR(_xlfn.IMAGE(INDEX('Прайс и заказ'!$O:$O,$J714)),""))</f>
      </c>
      <c r="B714" s="61" t="str">
        <f>IF($J714=0,"",IF(INDEX('Прайс и заказ'!B:B,$J714)="","",INDEX('Прайс и заказ'!B:B,$J714)))</f>
      </c>
      <c r="C714" s="64" t="str">
        <f>IF($J714=0,"",IF(INDEX('Прайс и заказ'!C:C,$J714)="","",INDEX('Прайс и заказ'!C:C,$J714)))</f>
      </c>
      <c r="D714" s="64" t="str">
        <f>IF($J714=0,"",IF(INDEX('Прайс и заказ'!D:D,$J714)="","",INDEX('Прайс и заказ'!D:D,$J714)))</f>
      </c>
      <c r="E714" s="61" t="str">
        <f>IF($J714=0,"",IF(INDEX('Прайс и заказ'!F:F,$J714)="","",INDEX('Прайс и заказ'!F:F,$J714)))</f>
      </c>
      <c r="F714" s="62" t="str">
        <f>IF($J714=0,"",IF(INDEX('Прайс и заказ'!I:I,$J714)="","",INDEX('Прайс и заказ'!I:I,$J714)))</f>
      </c>
      <c r="G714" s="63" t="str">
        <f>IF($J714=0,"",IF(INDEX('Прайс и заказ'!K:K,$J714)="","",INDEX('Прайс и заказ'!K:K,$J714)))</f>
      </c>
      <c r="H714" s="62" t="str">
        <f>IF($J714=0,"",IF(INDEX('Прайс и заказ'!L:L,$J714)="","",INDEX('Прайс и заказ'!L:L,$J714)))</f>
      </c>
      <c r="I714" s="13" t="str">
        <f>IF($J714=0,"",IF(INDEX('Прайс и заказ'!M:M,$J714)="","",INDEX('Прайс и заказ'!M:M,$J714)))</f>
      </c>
      <c r="J714" t="str">
        <f>IFERROR(MATCH(706,'Прайс и заказ'!$N$7:$N$781,0)+6,0)</f>
      </c>
    </row>
    <row r="715" spans="1:11" customHeight="1" ht="40">
      <c r="A715" s="13" t="str">
        <f>IF($J715=0,"",IFERROR(_xlfn.IMAGE(INDEX('Прайс и заказ'!$O:$O,$J715)),""))</f>
      </c>
      <c r="B715" s="61" t="str">
        <f>IF($J715=0,"",IF(INDEX('Прайс и заказ'!B:B,$J715)="","",INDEX('Прайс и заказ'!B:B,$J715)))</f>
      </c>
      <c r="C715" s="64" t="str">
        <f>IF($J715=0,"",IF(INDEX('Прайс и заказ'!C:C,$J715)="","",INDEX('Прайс и заказ'!C:C,$J715)))</f>
      </c>
      <c r="D715" s="64" t="str">
        <f>IF($J715=0,"",IF(INDEX('Прайс и заказ'!D:D,$J715)="","",INDEX('Прайс и заказ'!D:D,$J715)))</f>
      </c>
      <c r="E715" s="61" t="str">
        <f>IF($J715=0,"",IF(INDEX('Прайс и заказ'!F:F,$J715)="","",INDEX('Прайс и заказ'!F:F,$J715)))</f>
      </c>
      <c r="F715" s="62" t="str">
        <f>IF($J715=0,"",IF(INDEX('Прайс и заказ'!I:I,$J715)="","",INDEX('Прайс и заказ'!I:I,$J715)))</f>
      </c>
      <c r="G715" s="63" t="str">
        <f>IF($J715=0,"",IF(INDEX('Прайс и заказ'!K:K,$J715)="","",INDEX('Прайс и заказ'!K:K,$J715)))</f>
      </c>
      <c r="H715" s="62" t="str">
        <f>IF($J715=0,"",IF(INDEX('Прайс и заказ'!L:L,$J715)="","",INDEX('Прайс и заказ'!L:L,$J715)))</f>
      </c>
      <c r="I715" s="13" t="str">
        <f>IF($J715=0,"",IF(INDEX('Прайс и заказ'!M:M,$J715)="","",INDEX('Прайс и заказ'!M:M,$J715)))</f>
      </c>
      <c r="J715" t="str">
        <f>IFERROR(MATCH(707,'Прайс и заказ'!$N$7:$N$781,0)+6,0)</f>
      </c>
    </row>
    <row r="716" spans="1:11" customHeight="1" ht="40">
      <c r="A716" s="13" t="str">
        <f>IF($J716=0,"",IFERROR(_xlfn.IMAGE(INDEX('Прайс и заказ'!$O:$O,$J716)),""))</f>
      </c>
      <c r="B716" s="61" t="str">
        <f>IF($J716=0,"",IF(INDEX('Прайс и заказ'!B:B,$J716)="","",INDEX('Прайс и заказ'!B:B,$J716)))</f>
      </c>
      <c r="C716" s="64" t="str">
        <f>IF($J716=0,"",IF(INDEX('Прайс и заказ'!C:C,$J716)="","",INDEX('Прайс и заказ'!C:C,$J716)))</f>
      </c>
      <c r="D716" s="64" t="str">
        <f>IF($J716=0,"",IF(INDEX('Прайс и заказ'!D:D,$J716)="","",INDEX('Прайс и заказ'!D:D,$J716)))</f>
      </c>
      <c r="E716" s="61" t="str">
        <f>IF($J716=0,"",IF(INDEX('Прайс и заказ'!F:F,$J716)="","",INDEX('Прайс и заказ'!F:F,$J716)))</f>
      </c>
      <c r="F716" s="62" t="str">
        <f>IF($J716=0,"",IF(INDEX('Прайс и заказ'!I:I,$J716)="","",INDEX('Прайс и заказ'!I:I,$J716)))</f>
      </c>
      <c r="G716" s="63" t="str">
        <f>IF($J716=0,"",IF(INDEX('Прайс и заказ'!K:K,$J716)="","",INDEX('Прайс и заказ'!K:K,$J716)))</f>
      </c>
      <c r="H716" s="62" t="str">
        <f>IF($J716=0,"",IF(INDEX('Прайс и заказ'!L:L,$J716)="","",INDEX('Прайс и заказ'!L:L,$J716)))</f>
      </c>
      <c r="I716" s="13" t="str">
        <f>IF($J716=0,"",IF(INDEX('Прайс и заказ'!M:M,$J716)="","",INDEX('Прайс и заказ'!M:M,$J716)))</f>
      </c>
      <c r="J716" t="str">
        <f>IFERROR(MATCH(708,'Прайс и заказ'!$N$7:$N$781,0)+6,0)</f>
      </c>
    </row>
    <row r="717" spans="1:11" customHeight="1" ht="40">
      <c r="A717" s="13" t="str">
        <f>IF($J717=0,"",IFERROR(_xlfn.IMAGE(INDEX('Прайс и заказ'!$O:$O,$J717)),""))</f>
      </c>
      <c r="B717" s="61" t="str">
        <f>IF($J717=0,"",IF(INDEX('Прайс и заказ'!B:B,$J717)="","",INDEX('Прайс и заказ'!B:B,$J717)))</f>
      </c>
      <c r="C717" s="64" t="str">
        <f>IF($J717=0,"",IF(INDEX('Прайс и заказ'!C:C,$J717)="","",INDEX('Прайс и заказ'!C:C,$J717)))</f>
      </c>
      <c r="D717" s="64" t="str">
        <f>IF($J717=0,"",IF(INDEX('Прайс и заказ'!D:D,$J717)="","",INDEX('Прайс и заказ'!D:D,$J717)))</f>
      </c>
      <c r="E717" s="61" t="str">
        <f>IF($J717=0,"",IF(INDEX('Прайс и заказ'!F:F,$J717)="","",INDEX('Прайс и заказ'!F:F,$J717)))</f>
      </c>
      <c r="F717" s="62" t="str">
        <f>IF($J717=0,"",IF(INDEX('Прайс и заказ'!I:I,$J717)="","",INDEX('Прайс и заказ'!I:I,$J717)))</f>
      </c>
      <c r="G717" s="63" t="str">
        <f>IF($J717=0,"",IF(INDEX('Прайс и заказ'!K:K,$J717)="","",INDEX('Прайс и заказ'!K:K,$J717)))</f>
      </c>
      <c r="H717" s="62" t="str">
        <f>IF($J717=0,"",IF(INDEX('Прайс и заказ'!L:L,$J717)="","",INDEX('Прайс и заказ'!L:L,$J717)))</f>
      </c>
      <c r="I717" s="13" t="str">
        <f>IF($J717=0,"",IF(INDEX('Прайс и заказ'!M:M,$J717)="","",INDEX('Прайс и заказ'!M:M,$J717)))</f>
      </c>
      <c r="J717" t="str">
        <f>IFERROR(MATCH(709,'Прайс и заказ'!$N$7:$N$781,0)+6,0)</f>
      </c>
    </row>
    <row r="718" spans="1:11" customHeight="1" ht="40">
      <c r="A718" s="13" t="str">
        <f>IF($J718=0,"",IFERROR(_xlfn.IMAGE(INDEX('Прайс и заказ'!$O:$O,$J718)),""))</f>
      </c>
      <c r="B718" s="61" t="str">
        <f>IF($J718=0,"",IF(INDEX('Прайс и заказ'!B:B,$J718)="","",INDEX('Прайс и заказ'!B:B,$J718)))</f>
      </c>
      <c r="C718" s="64" t="str">
        <f>IF($J718=0,"",IF(INDEX('Прайс и заказ'!C:C,$J718)="","",INDEX('Прайс и заказ'!C:C,$J718)))</f>
      </c>
      <c r="D718" s="64" t="str">
        <f>IF($J718=0,"",IF(INDEX('Прайс и заказ'!D:D,$J718)="","",INDEX('Прайс и заказ'!D:D,$J718)))</f>
      </c>
      <c r="E718" s="61" t="str">
        <f>IF($J718=0,"",IF(INDEX('Прайс и заказ'!F:F,$J718)="","",INDEX('Прайс и заказ'!F:F,$J718)))</f>
      </c>
      <c r="F718" s="62" t="str">
        <f>IF($J718=0,"",IF(INDEX('Прайс и заказ'!I:I,$J718)="","",INDEX('Прайс и заказ'!I:I,$J718)))</f>
      </c>
      <c r="G718" s="63" t="str">
        <f>IF($J718=0,"",IF(INDEX('Прайс и заказ'!K:K,$J718)="","",INDEX('Прайс и заказ'!K:K,$J718)))</f>
      </c>
      <c r="H718" s="62" t="str">
        <f>IF($J718=0,"",IF(INDEX('Прайс и заказ'!L:L,$J718)="","",INDEX('Прайс и заказ'!L:L,$J718)))</f>
      </c>
      <c r="I718" s="13" t="str">
        <f>IF($J718=0,"",IF(INDEX('Прайс и заказ'!M:M,$J718)="","",INDEX('Прайс и заказ'!M:M,$J718)))</f>
      </c>
      <c r="J718" t="str">
        <f>IFERROR(MATCH(710,'Прайс и заказ'!$N$7:$N$781,0)+6,0)</f>
      </c>
    </row>
    <row r="719" spans="1:11" customHeight="1" ht="40">
      <c r="A719" s="13" t="str">
        <f>IF($J719=0,"",IFERROR(_xlfn.IMAGE(INDEX('Прайс и заказ'!$O:$O,$J719)),""))</f>
      </c>
      <c r="B719" s="61" t="str">
        <f>IF($J719=0,"",IF(INDEX('Прайс и заказ'!B:B,$J719)="","",INDEX('Прайс и заказ'!B:B,$J719)))</f>
      </c>
      <c r="C719" s="64" t="str">
        <f>IF($J719=0,"",IF(INDEX('Прайс и заказ'!C:C,$J719)="","",INDEX('Прайс и заказ'!C:C,$J719)))</f>
      </c>
      <c r="D719" s="64" t="str">
        <f>IF($J719=0,"",IF(INDEX('Прайс и заказ'!D:D,$J719)="","",INDEX('Прайс и заказ'!D:D,$J719)))</f>
      </c>
      <c r="E719" s="61" t="str">
        <f>IF($J719=0,"",IF(INDEX('Прайс и заказ'!F:F,$J719)="","",INDEX('Прайс и заказ'!F:F,$J719)))</f>
      </c>
      <c r="F719" s="62" t="str">
        <f>IF($J719=0,"",IF(INDEX('Прайс и заказ'!I:I,$J719)="","",INDEX('Прайс и заказ'!I:I,$J719)))</f>
      </c>
      <c r="G719" s="63" t="str">
        <f>IF($J719=0,"",IF(INDEX('Прайс и заказ'!K:K,$J719)="","",INDEX('Прайс и заказ'!K:K,$J719)))</f>
      </c>
      <c r="H719" s="62" t="str">
        <f>IF($J719=0,"",IF(INDEX('Прайс и заказ'!L:L,$J719)="","",INDEX('Прайс и заказ'!L:L,$J719)))</f>
      </c>
      <c r="I719" s="13" t="str">
        <f>IF($J719=0,"",IF(INDEX('Прайс и заказ'!M:M,$J719)="","",INDEX('Прайс и заказ'!M:M,$J719)))</f>
      </c>
      <c r="J719" t="str">
        <f>IFERROR(MATCH(711,'Прайс и заказ'!$N$7:$N$781,0)+6,0)</f>
      </c>
    </row>
    <row r="720" spans="1:11" customHeight="1" ht="40">
      <c r="A720" s="13" t="str">
        <f>IF($J720=0,"",IFERROR(_xlfn.IMAGE(INDEX('Прайс и заказ'!$O:$O,$J720)),""))</f>
      </c>
      <c r="B720" s="61" t="str">
        <f>IF($J720=0,"",IF(INDEX('Прайс и заказ'!B:B,$J720)="","",INDEX('Прайс и заказ'!B:B,$J720)))</f>
      </c>
      <c r="C720" s="64" t="str">
        <f>IF($J720=0,"",IF(INDEX('Прайс и заказ'!C:C,$J720)="","",INDEX('Прайс и заказ'!C:C,$J720)))</f>
      </c>
      <c r="D720" s="64" t="str">
        <f>IF($J720=0,"",IF(INDEX('Прайс и заказ'!D:D,$J720)="","",INDEX('Прайс и заказ'!D:D,$J720)))</f>
      </c>
      <c r="E720" s="61" t="str">
        <f>IF($J720=0,"",IF(INDEX('Прайс и заказ'!F:F,$J720)="","",INDEX('Прайс и заказ'!F:F,$J720)))</f>
      </c>
      <c r="F720" s="62" t="str">
        <f>IF($J720=0,"",IF(INDEX('Прайс и заказ'!I:I,$J720)="","",INDEX('Прайс и заказ'!I:I,$J720)))</f>
      </c>
      <c r="G720" s="63" t="str">
        <f>IF($J720=0,"",IF(INDEX('Прайс и заказ'!K:K,$J720)="","",INDEX('Прайс и заказ'!K:K,$J720)))</f>
      </c>
      <c r="H720" s="62" t="str">
        <f>IF($J720=0,"",IF(INDEX('Прайс и заказ'!L:L,$J720)="","",INDEX('Прайс и заказ'!L:L,$J720)))</f>
      </c>
      <c r="I720" s="13" t="str">
        <f>IF($J720=0,"",IF(INDEX('Прайс и заказ'!M:M,$J720)="","",INDEX('Прайс и заказ'!M:M,$J720)))</f>
      </c>
      <c r="J720" t="str">
        <f>IFERROR(MATCH(712,'Прайс и заказ'!$N$7:$N$781,0)+6,0)</f>
      </c>
    </row>
    <row r="721" spans="1:11" customHeight="1" ht="40">
      <c r="A721" s="13" t="str">
        <f>IF($J721=0,"",IFERROR(_xlfn.IMAGE(INDEX('Прайс и заказ'!$O:$O,$J721)),""))</f>
      </c>
      <c r="B721" s="61" t="str">
        <f>IF($J721=0,"",IF(INDEX('Прайс и заказ'!B:B,$J721)="","",INDEX('Прайс и заказ'!B:B,$J721)))</f>
      </c>
      <c r="C721" s="64" t="str">
        <f>IF($J721=0,"",IF(INDEX('Прайс и заказ'!C:C,$J721)="","",INDEX('Прайс и заказ'!C:C,$J721)))</f>
      </c>
      <c r="D721" s="64" t="str">
        <f>IF($J721=0,"",IF(INDEX('Прайс и заказ'!D:D,$J721)="","",INDEX('Прайс и заказ'!D:D,$J721)))</f>
      </c>
      <c r="E721" s="61" t="str">
        <f>IF($J721=0,"",IF(INDEX('Прайс и заказ'!F:F,$J721)="","",INDEX('Прайс и заказ'!F:F,$J721)))</f>
      </c>
      <c r="F721" s="62" t="str">
        <f>IF($J721=0,"",IF(INDEX('Прайс и заказ'!I:I,$J721)="","",INDEX('Прайс и заказ'!I:I,$J721)))</f>
      </c>
      <c r="G721" s="63" t="str">
        <f>IF($J721=0,"",IF(INDEX('Прайс и заказ'!K:K,$J721)="","",INDEX('Прайс и заказ'!K:K,$J721)))</f>
      </c>
      <c r="H721" s="62" t="str">
        <f>IF($J721=0,"",IF(INDEX('Прайс и заказ'!L:L,$J721)="","",INDEX('Прайс и заказ'!L:L,$J721)))</f>
      </c>
      <c r="I721" s="13" t="str">
        <f>IF($J721=0,"",IF(INDEX('Прайс и заказ'!M:M,$J721)="","",INDEX('Прайс и заказ'!M:M,$J721)))</f>
      </c>
      <c r="J721" t="str">
        <f>IFERROR(MATCH(713,'Прайс и заказ'!$N$7:$N$781,0)+6,0)</f>
      </c>
    </row>
    <row r="722" spans="1:11" customHeight="1" ht="40">
      <c r="A722" s="13" t="str">
        <f>IF($J722=0,"",IFERROR(_xlfn.IMAGE(INDEX('Прайс и заказ'!$O:$O,$J722)),""))</f>
      </c>
      <c r="B722" s="61" t="str">
        <f>IF($J722=0,"",IF(INDEX('Прайс и заказ'!B:B,$J722)="","",INDEX('Прайс и заказ'!B:B,$J722)))</f>
      </c>
      <c r="C722" s="64" t="str">
        <f>IF($J722=0,"",IF(INDEX('Прайс и заказ'!C:C,$J722)="","",INDEX('Прайс и заказ'!C:C,$J722)))</f>
      </c>
      <c r="D722" s="64" t="str">
        <f>IF($J722=0,"",IF(INDEX('Прайс и заказ'!D:D,$J722)="","",INDEX('Прайс и заказ'!D:D,$J722)))</f>
      </c>
      <c r="E722" s="61" t="str">
        <f>IF($J722=0,"",IF(INDEX('Прайс и заказ'!F:F,$J722)="","",INDEX('Прайс и заказ'!F:F,$J722)))</f>
      </c>
      <c r="F722" s="62" t="str">
        <f>IF($J722=0,"",IF(INDEX('Прайс и заказ'!I:I,$J722)="","",INDEX('Прайс и заказ'!I:I,$J722)))</f>
      </c>
      <c r="G722" s="63" t="str">
        <f>IF($J722=0,"",IF(INDEX('Прайс и заказ'!K:K,$J722)="","",INDEX('Прайс и заказ'!K:K,$J722)))</f>
      </c>
      <c r="H722" s="62" t="str">
        <f>IF($J722=0,"",IF(INDEX('Прайс и заказ'!L:L,$J722)="","",INDEX('Прайс и заказ'!L:L,$J722)))</f>
      </c>
      <c r="I722" s="13" t="str">
        <f>IF($J722=0,"",IF(INDEX('Прайс и заказ'!M:M,$J722)="","",INDEX('Прайс и заказ'!M:M,$J722)))</f>
      </c>
      <c r="J722" t="str">
        <f>IFERROR(MATCH(714,'Прайс и заказ'!$N$7:$N$781,0)+6,0)</f>
      </c>
    </row>
    <row r="723" spans="1:11" customHeight="1" ht="40">
      <c r="A723" s="13" t="str">
        <f>IF($J723=0,"",IFERROR(_xlfn.IMAGE(INDEX('Прайс и заказ'!$O:$O,$J723)),""))</f>
      </c>
      <c r="B723" s="61" t="str">
        <f>IF($J723=0,"",IF(INDEX('Прайс и заказ'!B:B,$J723)="","",INDEX('Прайс и заказ'!B:B,$J723)))</f>
      </c>
      <c r="C723" s="64" t="str">
        <f>IF($J723=0,"",IF(INDEX('Прайс и заказ'!C:C,$J723)="","",INDEX('Прайс и заказ'!C:C,$J723)))</f>
      </c>
      <c r="D723" s="64" t="str">
        <f>IF($J723=0,"",IF(INDEX('Прайс и заказ'!D:D,$J723)="","",INDEX('Прайс и заказ'!D:D,$J723)))</f>
      </c>
      <c r="E723" s="61" t="str">
        <f>IF($J723=0,"",IF(INDEX('Прайс и заказ'!F:F,$J723)="","",INDEX('Прайс и заказ'!F:F,$J723)))</f>
      </c>
      <c r="F723" s="62" t="str">
        <f>IF($J723=0,"",IF(INDEX('Прайс и заказ'!I:I,$J723)="","",INDEX('Прайс и заказ'!I:I,$J723)))</f>
      </c>
      <c r="G723" s="63" t="str">
        <f>IF($J723=0,"",IF(INDEX('Прайс и заказ'!K:K,$J723)="","",INDEX('Прайс и заказ'!K:K,$J723)))</f>
      </c>
      <c r="H723" s="62" t="str">
        <f>IF($J723=0,"",IF(INDEX('Прайс и заказ'!L:L,$J723)="","",INDEX('Прайс и заказ'!L:L,$J723)))</f>
      </c>
      <c r="I723" s="13" t="str">
        <f>IF($J723=0,"",IF(INDEX('Прайс и заказ'!M:M,$J723)="","",INDEX('Прайс и заказ'!M:M,$J723)))</f>
      </c>
      <c r="J723" t="str">
        <f>IFERROR(MATCH(715,'Прайс и заказ'!$N$7:$N$781,0)+6,0)</f>
      </c>
    </row>
    <row r="724" spans="1:11" customHeight="1" ht="40">
      <c r="A724" s="13" t="str">
        <f>IF($J724=0,"",IFERROR(_xlfn.IMAGE(INDEX('Прайс и заказ'!$O:$O,$J724)),""))</f>
      </c>
      <c r="B724" s="61" t="str">
        <f>IF($J724=0,"",IF(INDEX('Прайс и заказ'!B:B,$J724)="","",INDEX('Прайс и заказ'!B:B,$J724)))</f>
      </c>
      <c r="C724" s="64" t="str">
        <f>IF($J724=0,"",IF(INDEX('Прайс и заказ'!C:C,$J724)="","",INDEX('Прайс и заказ'!C:C,$J724)))</f>
      </c>
      <c r="D724" s="64" t="str">
        <f>IF($J724=0,"",IF(INDEX('Прайс и заказ'!D:D,$J724)="","",INDEX('Прайс и заказ'!D:D,$J724)))</f>
      </c>
      <c r="E724" s="61" t="str">
        <f>IF($J724=0,"",IF(INDEX('Прайс и заказ'!F:F,$J724)="","",INDEX('Прайс и заказ'!F:F,$J724)))</f>
      </c>
      <c r="F724" s="62" t="str">
        <f>IF($J724=0,"",IF(INDEX('Прайс и заказ'!I:I,$J724)="","",INDEX('Прайс и заказ'!I:I,$J724)))</f>
      </c>
      <c r="G724" s="63" t="str">
        <f>IF($J724=0,"",IF(INDEX('Прайс и заказ'!K:K,$J724)="","",INDEX('Прайс и заказ'!K:K,$J724)))</f>
      </c>
      <c r="H724" s="62" t="str">
        <f>IF($J724=0,"",IF(INDEX('Прайс и заказ'!L:L,$J724)="","",INDEX('Прайс и заказ'!L:L,$J724)))</f>
      </c>
      <c r="I724" s="13" t="str">
        <f>IF($J724=0,"",IF(INDEX('Прайс и заказ'!M:M,$J724)="","",INDEX('Прайс и заказ'!M:M,$J724)))</f>
      </c>
      <c r="J724" t="str">
        <f>IFERROR(MATCH(716,'Прайс и заказ'!$N$7:$N$781,0)+6,0)</f>
      </c>
    </row>
    <row r="725" spans="1:11" customHeight="1" ht="40">
      <c r="A725" s="13" t="str">
        <f>IF($J725=0,"",IFERROR(_xlfn.IMAGE(INDEX('Прайс и заказ'!$O:$O,$J725)),""))</f>
      </c>
      <c r="B725" s="61" t="str">
        <f>IF($J725=0,"",IF(INDEX('Прайс и заказ'!B:B,$J725)="","",INDEX('Прайс и заказ'!B:B,$J725)))</f>
      </c>
      <c r="C725" s="64" t="str">
        <f>IF($J725=0,"",IF(INDEX('Прайс и заказ'!C:C,$J725)="","",INDEX('Прайс и заказ'!C:C,$J725)))</f>
      </c>
      <c r="D725" s="64" t="str">
        <f>IF($J725=0,"",IF(INDEX('Прайс и заказ'!D:D,$J725)="","",INDEX('Прайс и заказ'!D:D,$J725)))</f>
      </c>
      <c r="E725" s="61" t="str">
        <f>IF($J725=0,"",IF(INDEX('Прайс и заказ'!F:F,$J725)="","",INDEX('Прайс и заказ'!F:F,$J725)))</f>
      </c>
      <c r="F725" s="62" t="str">
        <f>IF($J725=0,"",IF(INDEX('Прайс и заказ'!I:I,$J725)="","",INDEX('Прайс и заказ'!I:I,$J725)))</f>
      </c>
      <c r="G725" s="63" t="str">
        <f>IF($J725=0,"",IF(INDEX('Прайс и заказ'!K:K,$J725)="","",INDEX('Прайс и заказ'!K:K,$J725)))</f>
      </c>
      <c r="H725" s="62" t="str">
        <f>IF($J725=0,"",IF(INDEX('Прайс и заказ'!L:L,$J725)="","",INDEX('Прайс и заказ'!L:L,$J725)))</f>
      </c>
      <c r="I725" s="13" t="str">
        <f>IF($J725=0,"",IF(INDEX('Прайс и заказ'!M:M,$J725)="","",INDEX('Прайс и заказ'!M:M,$J725)))</f>
      </c>
      <c r="J725" t="str">
        <f>IFERROR(MATCH(717,'Прайс и заказ'!$N$7:$N$781,0)+6,0)</f>
      </c>
    </row>
    <row r="726" spans="1:11" customHeight="1" ht="40">
      <c r="A726" s="13" t="str">
        <f>IF($J726=0,"",IFERROR(_xlfn.IMAGE(INDEX('Прайс и заказ'!$O:$O,$J726)),""))</f>
      </c>
      <c r="B726" s="61" t="str">
        <f>IF($J726=0,"",IF(INDEX('Прайс и заказ'!B:B,$J726)="","",INDEX('Прайс и заказ'!B:B,$J726)))</f>
      </c>
      <c r="C726" s="64" t="str">
        <f>IF($J726=0,"",IF(INDEX('Прайс и заказ'!C:C,$J726)="","",INDEX('Прайс и заказ'!C:C,$J726)))</f>
      </c>
      <c r="D726" s="64" t="str">
        <f>IF($J726=0,"",IF(INDEX('Прайс и заказ'!D:D,$J726)="","",INDEX('Прайс и заказ'!D:D,$J726)))</f>
      </c>
      <c r="E726" s="61" t="str">
        <f>IF($J726=0,"",IF(INDEX('Прайс и заказ'!F:F,$J726)="","",INDEX('Прайс и заказ'!F:F,$J726)))</f>
      </c>
      <c r="F726" s="62" t="str">
        <f>IF($J726=0,"",IF(INDEX('Прайс и заказ'!I:I,$J726)="","",INDEX('Прайс и заказ'!I:I,$J726)))</f>
      </c>
      <c r="G726" s="63" t="str">
        <f>IF($J726=0,"",IF(INDEX('Прайс и заказ'!K:K,$J726)="","",INDEX('Прайс и заказ'!K:K,$J726)))</f>
      </c>
      <c r="H726" s="62" t="str">
        <f>IF($J726=0,"",IF(INDEX('Прайс и заказ'!L:L,$J726)="","",INDEX('Прайс и заказ'!L:L,$J726)))</f>
      </c>
      <c r="I726" s="13" t="str">
        <f>IF($J726=0,"",IF(INDEX('Прайс и заказ'!M:M,$J726)="","",INDEX('Прайс и заказ'!M:M,$J726)))</f>
      </c>
      <c r="J726" t="str">
        <f>IFERROR(MATCH(718,'Прайс и заказ'!$N$7:$N$781,0)+6,0)</f>
      </c>
    </row>
    <row r="727" spans="1:11" customHeight="1" ht="40">
      <c r="A727" s="13" t="str">
        <f>IF($J727=0,"",IFERROR(_xlfn.IMAGE(INDEX('Прайс и заказ'!$O:$O,$J727)),""))</f>
      </c>
      <c r="B727" s="61" t="str">
        <f>IF($J727=0,"",IF(INDEX('Прайс и заказ'!B:B,$J727)="","",INDEX('Прайс и заказ'!B:B,$J727)))</f>
      </c>
      <c r="C727" s="64" t="str">
        <f>IF($J727=0,"",IF(INDEX('Прайс и заказ'!C:C,$J727)="","",INDEX('Прайс и заказ'!C:C,$J727)))</f>
      </c>
      <c r="D727" s="64" t="str">
        <f>IF($J727=0,"",IF(INDEX('Прайс и заказ'!D:D,$J727)="","",INDEX('Прайс и заказ'!D:D,$J727)))</f>
      </c>
      <c r="E727" s="61" t="str">
        <f>IF($J727=0,"",IF(INDEX('Прайс и заказ'!F:F,$J727)="","",INDEX('Прайс и заказ'!F:F,$J727)))</f>
      </c>
      <c r="F727" s="62" t="str">
        <f>IF($J727=0,"",IF(INDEX('Прайс и заказ'!I:I,$J727)="","",INDEX('Прайс и заказ'!I:I,$J727)))</f>
      </c>
      <c r="G727" s="63" t="str">
        <f>IF($J727=0,"",IF(INDEX('Прайс и заказ'!K:K,$J727)="","",INDEX('Прайс и заказ'!K:K,$J727)))</f>
      </c>
      <c r="H727" s="62" t="str">
        <f>IF($J727=0,"",IF(INDEX('Прайс и заказ'!L:L,$J727)="","",INDEX('Прайс и заказ'!L:L,$J727)))</f>
      </c>
      <c r="I727" s="13" t="str">
        <f>IF($J727=0,"",IF(INDEX('Прайс и заказ'!M:M,$J727)="","",INDEX('Прайс и заказ'!M:M,$J727)))</f>
      </c>
      <c r="J727" t="str">
        <f>IFERROR(MATCH(719,'Прайс и заказ'!$N$7:$N$781,0)+6,0)</f>
      </c>
    </row>
    <row r="728" spans="1:11" customHeight="1" ht="40">
      <c r="A728" s="13" t="str">
        <f>IF($J728=0,"",IFERROR(_xlfn.IMAGE(INDEX('Прайс и заказ'!$O:$O,$J728)),""))</f>
      </c>
      <c r="B728" s="61" t="str">
        <f>IF($J728=0,"",IF(INDEX('Прайс и заказ'!B:B,$J728)="","",INDEX('Прайс и заказ'!B:B,$J728)))</f>
      </c>
      <c r="C728" s="64" t="str">
        <f>IF($J728=0,"",IF(INDEX('Прайс и заказ'!C:C,$J728)="","",INDEX('Прайс и заказ'!C:C,$J728)))</f>
      </c>
      <c r="D728" s="64" t="str">
        <f>IF($J728=0,"",IF(INDEX('Прайс и заказ'!D:D,$J728)="","",INDEX('Прайс и заказ'!D:D,$J728)))</f>
      </c>
      <c r="E728" s="61" t="str">
        <f>IF($J728=0,"",IF(INDEX('Прайс и заказ'!F:F,$J728)="","",INDEX('Прайс и заказ'!F:F,$J728)))</f>
      </c>
      <c r="F728" s="62" t="str">
        <f>IF($J728=0,"",IF(INDEX('Прайс и заказ'!I:I,$J728)="","",INDEX('Прайс и заказ'!I:I,$J728)))</f>
      </c>
      <c r="G728" s="63" t="str">
        <f>IF($J728=0,"",IF(INDEX('Прайс и заказ'!K:K,$J728)="","",INDEX('Прайс и заказ'!K:K,$J728)))</f>
      </c>
      <c r="H728" s="62" t="str">
        <f>IF($J728=0,"",IF(INDEX('Прайс и заказ'!L:L,$J728)="","",INDEX('Прайс и заказ'!L:L,$J728)))</f>
      </c>
      <c r="I728" s="13" t="str">
        <f>IF($J728=0,"",IF(INDEX('Прайс и заказ'!M:M,$J728)="","",INDEX('Прайс и заказ'!M:M,$J728)))</f>
      </c>
      <c r="J728" t="str">
        <f>IFERROR(MATCH(720,'Прайс и заказ'!$N$7:$N$781,0)+6,0)</f>
      </c>
    </row>
    <row r="729" spans="1:11" customHeight="1" ht="40">
      <c r="A729" s="13" t="str">
        <f>IF($J729=0,"",IFERROR(_xlfn.IMAGE(INDEX('Прайс и заказ'!$O:$O,$J729)),""))</f>
      </c>
      <c r="B729" s="61" t="str">
        <f>IF($J729=0,"",IF(INDEX('Прайс и заказ'!B:B,$J729)="","",INDEX('Прайс и заказ'!B:B,$J729)))</f>
      </c>
      <c r="C729" s="64" t="str">
        <f>IF($J729=0,"",IF(INDEX('Прайс и заказ'!C:C,$J729)="","",INDEX('Прайс и заказ'!C:C,$J729)))</f>
      </c>
      <c r="D729" s="64" t="str">
        <f>IF($J729=0,"",IF(INDEX('Прайс и заказ'!D:D,$J729)="","",INDEX('Прайс и заказ'!D:D,$J729)))</f>
      </c>
      <c r="E729" s="61" t="str">
        <f>IF($J729=0,"",IF(INDEX('Прайс и заказ'!F:F,$J729)="","",INDEX('Прайс и заказ'!F:F,$J729)))</f>
      </c>
      <c r="F729" s="62" t="str">
        <f>IF($J729=0,"",IF(INDEX('Прайс и заказ'!I:I,$J729)="","",INDEX('Прайс и заказ'!I:I,$J729)))</f>
      </c>
      <c r="G729" s="63" t="str">
        <f>IF($J729=0,"",IF(INDEX('Прайс и заказ'!K:K,$J729)="","",INDEX('Прайс и заказ'!K:K,$J729)))</f>
      </c>
      <c r="H729" s="62" t="str">
        <f>IF($J729=0,"",IF(INDEX('Прайс и заказ'!L:L,$J729)="","",INDEX('Прайс и заказ'!L:L,$J729)))</f>
      </c>
      <c r="I729" s="13" t="str">
        <f>IF($J729=0,"",IF(INDEX('Прайс и заказ'!M:M,$J729)="","",INDEX('Прайс и заказ'!M:M,$J729)))</f>
      </c>
      <c r="J729" t="str">
        <f>IFERROR(MATCH(721,'Прайс и заказ'!$N$7:$N$781,0)+6,0)</f>
      </c>
    </row>
    <row r="730" spans="1:11" customHeight="1" ht="40">
      <c r="A730" s="13" t="str">
        <f>IF($J730=0,"",IFERROR(_xlfn.IMAGE(INDEX('Прайс и заказ'!$O:$O,$J730)),""))</f>
      </c>
      <c r="B730" s="61" t="str">
        <f>IF($J730=0,"",IF(INDEX('Прайс и заказ'!B:B,$J730)="","",INDEX('Прайс и заказ'!B:B,$J730)))</f>
      </c>
      <c r="C730" s="64" t="str">
        <f>IF($J730=0,"",IF(INDEX('Прайс и заказ'!C:C,$J730)="","",INDEX('Прайс и заказ'!C:C,$J730)))</f>
      </c>
      <c r="D730" s="64" t="str">
        <f>IF($J730=0,"",IF(INDEX('Прайс и заказ'!D:D,$J730)="","",INDEX('Прайс и заказ'!D:D,$J730)))</f>
      </c>
      <c r="E730" s="61" t="str">
        <f>IF($J730=0,"",IF(INDEX('Прайс и заказ'!F:F,$J730)="","",INDEX('Прайс и заказ'!F:F,$J730)))</f>
      </c>
      <c r="F730" s="62" t="str">
        <f>IF($J730=0,"",IF(INDEX('Прайс и заказ'!I:I,$J730)="","",INDEX('Прайс и заказ'!I:I,$J730)))</f>
      </c>
      <c r="G730" s="63" t="str">
        <f>IF($J730=0,"",IF(INDEX('Прайс и заказ'!K:K,$J730)="","",INDEX('Прайс и заказ'!K:K,$J730)))</f>
      </c>
      <c r="H730" s="62" t="str">
        <f>IF($J730=0,"",IF(INDEX('Прайс и заказ'!L:L,$J730)="","",INDEX('Прайс и заказ'!L:L,$J730)))</f>
      </c>
      <c r="I730" s="13" t="str">
        <f>IF($J730=0,"",IF(INDEX('Прайс и заказ'!M:M,$J730)="","",INDEX('Прайс и заказ'!M:M,$J730)))</f>
      </c>
      <c r="J730" t="str">
        <f>IFERROR(MATCH(722,'Прайс и заказ'!$N$7:$N$781,0)+6,0)</f>
      </c>
    </row>
    <row r="731" spans="1:11" customHeight="1" ht="40">
      <c r="A731" s="13" t="str">
        <f>IF($J731=0,"",IFERROR(_xlfn.IMAGE(INDEX('Прайс и заказ'!$O:$O,$J731)),""))</f>
      </c>
      <c r="B731" s="61" t="str">
        <f>IF($J731=0,"",IF(INDEX('Прайс и заказ'!B:B,$J731)="","",INDEX('Прайс и заказ'!B:B,$J731)))</f>
      </c>
      <c r="C731" s="64" t="str">
        <f>IF($J731=0,"",IF(INDEX('Прайс и заказ'!C:C,$J731)="","",INDEX('Прайс и заказ'!C:C,$J731)))</f>
      </c>
      <c r="D731" s="64" t="str">
        <f>IF($J731=0,"",IF(INDEX('Прайс и заказ'!D:D,$J731)="","",INDEX('Прайс и заказ'!D:D,$J731)))</f>
      </c>
      <c r="E731" s="61" t="str">
        <f>IF($J731=0,"",IF(INDEX('Прайс и заказ'!F:F,$J731)="","",INDEX('Прайс и заказ'!F:F,$J731)))</f>
      </c>
      <c r="F731" s="62" t="str">
        <f>IF($J731=0,"",IF(INDEX('Прайс и заказ'!I:I,$J731)="","",INDEX('Прайс и заказ'!I:I,$J731)))</f>
      </c>
      <c r="G731" s="63" t="str">
        <f>IF($J731=0,"",IF(INDEX('Прайс и заказ'!K:K,$J731)="","",INDEX('Прайс и заказ'!K:K,$J731)))</f>
      </c>
      <c r="H731" s="62" t="str">
        <f>IF($J731=0,"",IF(INDEX('Прайс и заказ'!L:L,$J731)="","",INDEX('Прайс и заказ'!L:L,$J731)))</f>
      </c>
      <c r="I731" s="13" t="str">
        <f>IF($J731=0,"",IF(INDEX('Прайс и заказ'!M:M,$J731)="","",INDEX('Прайс и заказ'!M:M,$J731)))</f>
      </c>
      <c r="J731" t="str">
        <f>IFERROR(MATCH(723,'Прайс и заказ'!$N$7:$N$781,0)+6,0)</f>
      </c>
    </row>
    <row r="732" spans="1:11" customHeight="1" ht="40">
      <c r="A732" s="13" t="str">
        <f>IF($J732=0,"",IFERROR(_xlfn.IMAGE(INDEX('Прайс и заказ'!$O:$O,$J732)),""))</f>
      </c>
      <c r="B732" s="61" t="str">
        <f>IF($J732=0,"",IF(INDEX('Прайс и заказ'!B:B,$J732)="","",INDEX('Прайс и заказ'!B:B,$J732)))</f>
      </c>
      <c r="C732" s="64" t="str">
        <f>IF($J732=0,"",IF(INDEX('Прайс и заказ'!C:C,$J732)="","",INDEX('Прайс и заказ'!C:C,$J732)))</f>
      </c>
      <c r="D732" s="64" t="str">
        <f>IF($J732=0,"",IF(INDEX('Прайс и заказ'!D:D,$J732)="","",INDEX('Прайс и заказ'!D:D,$J732)))</f>
      </c>
      <c r="E732" s="61" t="str">
        <f>IF($J732=0,"",IF(INDEX('Прайс и заказ'!F:F,$J732)="","",INDEX('Прайс и заказ'!F:F,$J732)))</f>
      </c>
      <c r="F732" s="62" t="str">
        <f>IF($J732=0,"",IF(INDEX('Прайс и заказ'!I:I,$J732)="","",INDEX('Прайс и заказ'!I:I,$J732)))</f>
      </c>
      <c r="G732" s="63" t="str">
        <f>IF($J732=0,"",IF(INDEX('Прайс и заказ'!K:K,$J732)="","",INDEX('Прайс и заказ'!K:K,$J732)))</f>
      </c>
      <c r="H732" s="62" t="str">
        <f>IF($J732=0,"",IF(INDEX('Прайс и заказ'!L:L,$J732)="","",INDEX('Прайс и заказ'!L:L,$J732)))</f>
      </c>
      <c r="I732" s="13" t="str">
        <f>IF($J732=0,"",IF(INDEX('Прайс и заказ'!M:M,$J732)="","",INDEX('Прайс и заказ'!M:M,$J732)))</f>
      </c>
      <c r="J732" t="str">
        <f>IFERROR(MATCH(724,'Прайс и заказ'!$N$7:$N$781,0)+6,0)</f>
      </c>
    </row>
    <row r="733" spans="1:11" customHeight="1" ht="40">
      <c r="A733" s="13" t="str">
        <f>IF($J733=0,"",IFERROR(_xlfn.IMAGE(INDEX('Прайс и заказ'!$O:$O,$J733)),""))</f>
      </c>
      <c r="B733" s="61" t="str">
        <f>IF($J733=0,"",IF(INDEX('Прайс и заказ'!B:B,$J733)="","",INDEX('Прайс и заказ'!B:B,$J733)))</f>
      </c>
      <c r="C733" s="64" t="str">
        <f>IF($J733=0,"",IF(INDEX('Прайс и заказ'!C:C,$J733)="","",INDEX('Прайс и заказ'!C:C,$J733)))</f>
      </c>
      <c r="D733" s="64" t="str">
        <f>IF($J733=0,"",IF(INDEX('Прайс и заказ'!D:D,$J733)="","",INDEX('Прайс и заказ'!D:D,$J733)))</f>
      </c>
      <c r="E733" s="61" t="str">
        <f>IF($J733=0,"",IF(INDEX('Прайс и заказ'!F:F,$J733)="","",INDEX('Прайс и заказ'!F:F,$J733)))</f>
      </c>
      <c r="F733" s="62" t="str">
        <f>IF($J733=0,"",IF(INDEX('Прайс и заказ'!I:I,$J733)="","",INDEX('Прайс и заказ'!I:I,$J733)))</f>
      </c>
      <c r="G733" s="63" t="str">
        <f>IF($J733=0,"",IF(INDEX('Прайс и заказ'!K:K,$J733)="","",INDEX('Прайс и заказ'!K:K,$J733)))</f>
      </c>
      <c r="H733" s="62" t="str">
        <f>IF($J733=0,"",IF(INDEX('Прайс и заказ'!L:L,$J733)="","",INDEX('Прайс и заказ'!L:L,$J733)))</f>
      </c>
      <c r="I733" s="13" t="str">
        <f>IF($J733=0,"",IF(INDEX('Прайс и заказ'!M:M,$J733)="","",INDEX('Прайс и заказ'!M:M,$J733)))</f>
      </c>
      <c r="J733" t="str">
        <f>IFERROR(MATCH(725,'Прайс и заказ'!$N$7:$N$781,0)+6,0)</f>
      </c>
    </row>
    <row r="734" spans="1:11" customHeight="1" ht="40">
      <c r="A734" s="13" t="str">
        <f>IF($J734=0,"",IFERROR(_xlfn.IMAGE(INDEX('Прайс и заказ'!$O:$O,$J734)),""))</f>
      </c>
      <c r="B734" s="61" t="str">
        <f>IF($J734=0,"",IF(INDEX('Прайс и заказ'!B:B,$J734)="","",INDEX('Прайс и заказ'!B:B,$J734)))</f>
      </c>
      <c r="C734" s="64" t="str">
        <f>IF($J734=0,"",IF(INDEX('Прайс и заказ'!C:C,$J734)="","",INDEX('Прайс и заказ'!C:C,$J734)))</f>
      </c>
      <c r="D734" s="64" t="str">
        <f>IF($J734=0,"",IF(INDEX('Прайс и заказ'!D:D,$J734)="","",INDEX('Прайс и заказ'!D:D,$J734)))</f>
      </c>
      <c r="E734" s="61" t="str">
        <f>IF($J734=0,"",IF(INDEX('Прайс и заказ'!F:F,$J734)="","",INDEX('Прайс и заказ'!F:F,$J734)))</f>
      </c>
      <c r="F734" s="62" t="str">
        <f>IF($J734=0,"",IF(INDEX('Прайс и заказ'!I:I,$J734)="","",INDEX('Прайс и заказ'!I:I,$J734)))</f>
      </c>
      <c r="G734" s="63" t="str">
        <f>IF($J734=0,"",IF(INDEX('Прайс и заказ'!K:K,$J734)="","",INDEX('Прайс и заказ'!K:K,$J734)))</f>
      </c>
      <c r="H734" s="62" t="str">
        <f>IF($J734=0,"",IF(INDEX('Прайс и заказ'!L:L,$J734)="","",INDEX('Прайс и заказ'!L:L,$J734)))</f>
      </c>
      <c r="I734" s="13" t="str">
        <f>IF($J734=0,"",IF(INDEX('Прайс и заказ'!M:M,$J734)="","",INDEX('Прайс и заказ'!M:M,$J734)))</f>
      </c>
      <c r="J734" t="str">
        <f>IFERROR(MATCH(726,'Прайс и заказ'!$N$7:$N$781,0)+6,0)</f>
      </c>
    </row>
    <row r="735" spans="1:11" customHeight="1" ht="40">
      <c r="A735" s="13" t="str">
        <f>IF($J735=0,"",IFERROR(_xlfn.IMAGE(INDEX('Прайс и заказ'!$O:$O,$J735)),""))</f>
      </c>
      <c r="B735" s="61" t="str">
        <f>IF($J735=0,"",IF(INDEX('Прайс и заказ'!B:B,$J735)="","",INDEX('Прайс и заказ'!B:B,$J735)))</f>
      </c>
      <c r="C735" s="64" t="str">
        <f>IF($J735=0,"",IF(INDEX('Прайс и заказ'!C:C,$J735)="","",INDEX('Прайс и заказ'!C:C,$J735)))</f>
      </c>
      <c r="D735" s="64" t="str">
        <f>IF($J735=0,"",IF(INDEX('Прайс и заказ'!D:D,$J735)="","",INDEX('Прайс и заказ'!D:D,$J735)))</f>
      </c>
      <c r="E735" s="61" t="str">
        <f>IF($J735=0,"",IF(INDEX('Прайс и заказ'!F:F,$J735)="","",INDEX('Прайс и заказ'!F:F,$J735)))</f>
      </c>
      <c r="F735" s="62" t="str">
        <f>IF($J735=0,"",IF(INDEX('Прайс и заказ'!I:I,$J735)="","",INDEX('Прайс и заказ'!I:I,$J735)))</f>
      </c>
      <c r="G735" s="63" t="str">
        <f>IF($J735=0,"",IF(INDEX('Прайс и заказ'!K:K,$J735)="","",INDEX('Прайс и заказ'!K:K,$J735)))</f>
      </c>
      <c r="H735" s="62" t="str">
        <f>IF($J735=0,"",IF(INDEX('Прайс и заказ'!L:L,$J735)="","",INDEX('Прайс и заказ'!L:L,$J735)))</f>
      </c>
      <c r="I735" s="13" t="str">
        <f>IF($J735=0,"",IF(INDEX('Прайс и заказ'!M:M,$J735)="","",INDEX('Прайс и заказ'!M:M,$J735)))</f>
      </c>
      <c r="J735" t="str">
        <f>IFERROR(MATCH(727,'Прайс и заказ'!$N$7:$N$781,0)+6,0)</f>
      </c>
    </row>
    <row r="736" spans="1:11" customHeight="1" ht="40">
      <c r="A736" s="13" t="str">
        <f>IF($J736=0,"",IFERROR(_xlfn.IMAGE(INDEX('Прайс и заказ'!$O:$O,$J736)),""))</f>
      </c>
      <c r="B736" s="61" t="str">
        <f>IF($J736=0,"",IF(INDEX('Прайс и заказ'!B:B,$J736)="","",INDEX('Прайс и заказ'!B:B,$J736)))</f>
      </c>
      <c r="C736" s="64" t="str">
        <f>IF($J736=0,"",IF(INDEX('Прайс и заказ'!C:C,$J736)="","",INDEX('Прайс и заказ'!C:C,$J736)))</f>
      </c>
      <c r="D736" s="64" t="str">
        <f>IF($J736=0,"",IF(INDEX('Прайс и заказ'!D:D,$J736)="","",INDEX('Прайс и заказ'!D:D,$J736)))</f>
      </c>
      <c r="E736" s="61" t="str">
        <f>IF($J736=0,"",IF(INDEX('Прайс и заказ'!F:F,$J736)="","",INDEX('Прайс и заказ'!F:F,$J736)))</f>
      </c>
      <c r="F736" s="62" t="str">
        <f>IF($J736=0,"",IF(INDEX('Прайс и заказ'!I:I,$J736)="","",INDEX('Прайс и заказ'!I:I,$J736)))</f>
      </c>
      <c r="G736" s="63" t="str">
        <f>IF($J736=0,"",IF(INDEX('Прайс и заказ'!K:K,$J736)="","",INDEX('Прайс и заказ'!K:K,$J736)))</f>
      </c>
      <c r="H736" s="62" t="str">
        <f>IF($J736=0,"",IF(INDEX('Прайс и заказ'!L:L,$J736)="","",INDEX('Прайс и заказ'!L:L,$J736)))</f>
      </c>
      <c r="I736" s="13" t="str">
        <f>IF($J736=0,"",IF(INDEX('Прайс и заказ'!M:M,$J736)="","",INDEX('Прайс и заказ'!M:M,$J736)))</f>
      </c>
      <c r="J736" t="str">
        <f>IFERROR(MATCH(728,'Прайс и заказ'!$N$7:$N$781,0)+6,0)</f>
      </c>
    </row>
    <row r="737" spans="1:11" customHeight="1" ht="40">
      <c r="A737" s="13" t="str">
        <f>IF($J737=0,"",IFERROR(_xlfn.IMAGE(INDEX('Прайс и заказ'!$O:$O,$J737)),""))</f>
      </c>
      <c r="B737" s="61" t="str">
        <f>IF($J737=0,"",IF(INDEX('Прайс и заказ'!B:B,$J737)="","",INDEX('Прайс и заказ'!B:B,$J737)))</f>
      </c>
      <c r="C737" s="64" t="str">
        <f>IF($J737=0,"",IF(INDEX('Прайс и заказ'!C:C,$J737)="","",INDEX('Прайс и заказ'!C:C,$J737)))</f>
      </c>
      <c r="D737" s="64" t="str">
        <f>IF($J737=0,"",IF(INDEX('Прайс и заказ'!D:D,$J737)="","",INDEX('Прайс и заказ'!D:D,$J737)))</f>
      </c>
      <c r="E737" s="61" t="str">
        <f>IF($J737=0,"",IF(INDEX('Прайс и заказ'!F:F,$J737)="","",INDEX('Прайс и заказ'!F:F,$J737)))</f>
      </c>
      <c r="F737" s="62" t="str">
        <f>IF($J737=0,"",IF(INDEX('Прайс и заказ'!I:I,$J737)="","",INDEX('Прайс и заказ'!I:I,$J737)))</f>
      </c>
      <c r="G737" s="63" t="str">
        <f>IF($J737=0,"",IF(INDEX('Прайс и заказ'!K:K,$J737)="","",INDEX('Прайс и заказ'!K:K,$J737)))</f>
      </c>
      <c r="H737" s="62" t="str">
        <f>IF($J737=0,"",IF(INDEX('Прайс и заказ'!L:L,$J737)="","",INDEX('Прайс и заказ'!L:L,$J737)))</f>
      </c>
      <c r="I737" s="13" t="str">
        <f>IF($J737=0,"",IF(INDEX('Прайс и заказ'!M:M,$J737)="","",INDEX('Прайс и заказ'!M:M,$J737)))</f>
      </c>
      <c r="J737" t="str">
        <f>IFERROR(MATCH(729,'Прайс и заказ'!$N$7:$N$781,0)+6,0)</f>
      </c>
    </row>
    <row r="738" spans="1:11" customHeight="1" ht="40">
      <c r="A738" s="13" t="str">
        <f>IF($J738=0,"",IFERROR(_xlfn.IMAGE(INDEX('Прайс и заказ'!$O:$O,$J738)),""))</f>
      </c>
      <c r="B738" s="61" t="str">
        <f>IF($J738=0,"",IF(INDEX('Прайс и заказ'!B:B,$J738)="","",INDEX('Прайс и заказ'!B:B,$J738)))</f>
      </c>
      <c r="C738" s="64" t="str">
        <f>IF($J738=0,"",IF(INDEX('Прайс и заказ'!C:C,$J738)="","",INDEX('Прайс и заказ'!C:C,$J738)))</f>
      </c>
      <c r="D738" s="64" t="str">
        <f>IF($J738=0,"",IF(INDEX('Прайс и заказ'!D:D,$J738)="","",INDEX('Прайс и заказ'!D:D,$J738)))</f>
      </c>
      <c r="E738" s="61" t="str">
        <f>IF($J738=0,"",IF(INDEX('Прайс и заказ'!F:F,$J738)="","",INDEX('Прайс и заказ'!F:F,$J738)))</f>
      </c>
      <c r="F738" s="62" t="str">
        <f>IF($J738=0,"",IF(INDEX('Прайс и заказ'!I:I,$J738)="","",INDEX('Прайс и заказ'!I:I,$J738)))</f>
      </c>
      <c r="G738" s="63" t="str">
        <f>IF($J738=0,"",IF(INDEX('Прайс и заказ'!K:K,$J738)="","",INDEX('Прайс и заказ'!K:K,$J738)))</f>
      </c>
      <c r="H738" s="62" t="str">
        <f>IF($J738=0,"",IF(INDEX('Прайс и заказ'!L:L,$J738)="","",INDEX('Прайс и заказ'!L:L,$J738)))</f>
      </c>
      <c r="I738" s="13" t="str">
        <f>IF($J738=0,"",IF(INDEX('Прайс и заказ'!M:M,$J738)="","",INDEX('Прайс и заказ'!M:M,$J738)))</f>
      </c>
      <c r="J738" t="str">
        <f>IFERROR(MATCH(730,'Прайс и заказ'!$N$7:$N$781,0)+6,0)</f>
      </c>
    </row>
    <row r="739" spans="1:11" customHeight="1" ht="40">
      <c r="A739" s="13" t="str">
        <f>IF($J739=0,"",IFERROR(_xlfn.IMAGE(INDEX('Прайс и заказ'!$O:$O,$J739)),""))</f>
      </c>
      <c r="B739" s="61" t="str">
        <f>IF($J739=0,"",IF(INDEX('Прайс и заказ'!B:B,$J739)="","",INDEX('Прайс и заказ'!B:B,$J739)))</f>
      </c>
      <c r="C739" s="64" t="str">
        <f>IF($J739=0,"",IF(INDEX('Прайс и заказ'!C:C,$J739)="","",INDEX('Прайс и заказ'!C:C,$J739)))</f>
      </c>
      <c r="D739" s="64" t="str">
        <f>IF($J739=0,"",IF(INDEX('Прайс и заказ'!D:D,$J739)="","",INDEX('Прайс и заказ'!D:D,$J739)))</f>
      </c>
      <c r="E739" s="61" t="str">
        <f>IF($J739=0,"",IF(INDEX('Прайс и заказ'!F:F,$J739)="","",INDEX('Прайс и заказ'!F:F,$J739)))</f>
      </c>
      <c r="F739" s="62" t="str">
        <f>IF($J739=0,"",IF(INDEX('Прайс и заказ'!I:I,$J739)="","",INDEX('Прайс и заказ'!I:I,$J739)))</f>
      </c>
      <c r="G739" s="63" t="str">
        <f>IF($J739=0,"",IF(INDEX('Прайс и заказ'!K:K,$J739)="","",INDEX('Прайс и заказ'!K:K,$J739)))</f>
      </c>
      <c r="H739" s="62" t="str">
        <f>IF($J739=0,"",IF(INDEX('Прайс и заказ'!L:L,$J739)="","",INDEX('Прайс и заказ'!L:L,$J739)))</f>
      </c>
      <c r="I739" s="13" t="str">
        <f>IF($J739=0,"",IF(INDEX('Прайс и заказ'!M:M,$J739)="","",INDEX('Прайс и заказ'!M:M,$J739)))</f>
      </c>
      <c r="J739" t="str">
        <f>IFERROR(MATCH(731,'Прайс и заказ'!$N$7:$N$781,0)+6,0)</f>
      </c>
    </row>
    <row r="740" spans="1:11" customHeight="1" ht="40">
      <c r="A740" s="13" t="str">
        <f>IF($J740=0,"",IFERROR(_xlfn.IMAGE(INDEX('Прайс и заказ'!$O:$O,$J740)),""))</f>
      </c>
      <c r="B740" s="61" t="str">
        <f>IF($J740=0,"",IF(INDEX('Прайс и заказ'!B:B,$J740)="","",INDEX('Прайс и заказ'!B:B,$J740)))</f>
      </c>
      <c r="C740" s="64" t="str">
        <f>IF($J740=0,"",IF(INDEX('Прайс и заказ'!C:C,$J740)="","",INDEX('Прайс и заказ'!C:C,$J740)))</f>
      </c>
      <c r="D740" s="64" t="str">
        <f>IF($J740=0,"",IF(INDEX('Прайс и заказ'!D:D,$J740)="","",INDEX('Прайс и заказ'!D:D,$J740)))</f>
      </c>
      <c r="E740" s="61" t="str">
        <f>IF($J740=0,"",IF(INDEX('Прайс и заказ'!F:F,$J740)="","",INDEX('Прайс и заказ'!F:F,$J740)))</f>
      </c>
      <c r="F740" s="62" t="str">
        <f>IF($J740=0,"",IF(INDEX('Прайс и заказ'!I:I,$J740)="","",INDEX('Прайс и заказ'!I:I,$J740)))</f>
      </c>
      <c r="G740" s="63" t="str">
        <f>IF($J740=0,"",IF(INDEX('Прайс и заказ'!K:K,$J740)="","",INDEX('Прайс и заказ'!K:K,$J740)))</f>
      </c>
      <c r="H740" s="62" t="str">
        <f>IF($J740=0,"",IF(INDEX('Прайс и заказ'!L:L,$J740)="","",INDEX('Прайс и заказ'!L:L,$J740)))</f>
      </c>
      <c r="I740" s="13" t="str">
        <f>IF($J740=0,"",IF(INDEX('Прайс и заказ'!M:M,$J740)="","",INDEX('Прайс и заказ'!M:M,$J740)))</f>
      </c>
      <c r="J740" t="str">
        <f>IFERROR(MATCH(732,'Прайс и заказ'!$N$7:$N$781,0)+6,0)</f>
      </c>
    </row>
    <row r="741" spans="1:11" customHeight="1" ht="40">
      <c r="A741" s="13" t="str">
        <f>IF($J741=0,"",IFERROR(_xlfn.IMAGE(INDEX('Прайс и заказ'!$O:$O,$J741)),""))</f>
      </c>
      <c r="B741" s="61" t="str">
        <f>IF($J741=0,"",IF(INDEX('Прайс и заказ'!B:B,$J741)="","",INDEX('Прайс и заказ'!B:B,$J741)))</f>
      </c>
      <c r="C741" s="64" t="str">
        <f>IF($J741=0,"",IF(INDEX('Прайс и заказ'!C:C,$J741)="","",INDEX('Прайс и заказ'!C:C,$J741)))</f>
      </c>
      <c r="D741" s="64" t="str">
        <f>IF($J741=0,"",IF(INDEX('Прайс и заказ'!D:D,$J741)="","",INDEX('Прайс и заказ'!D:D,$J741)))</f>
      </c>
      <c r="E741" s="61" t="str">
        <f>IF($J741=0,"",IF(INDEX('Прайс и заказ'!F:F,$J741)="","",INDEX('Прайс и заказ'!F:F,$J741)))</f>
      </c>
      <c r="F741" s="62" t="str">
        <f>IF($J741=0,"",IF(INDEX('Прайс и заказ'!I:I,$J741)="","",INDEX('Прайс и заказ'!I:I,$J741)))</f>
      </c>
      <c r="G741" s="63" t="str">
        <f>IF($J741=0,"",IF(INDEX('Прайс и заказ'!K:K,$J741)="","",INDEX('Прайс и заказ'!K:K,$J741)))</f>
      </c>
      <c r="H741" s="62" t="str">
        <f>IF($J741=0,"",IF(INDEX('Прайс и заказ'!L:L,$J741)="","",INDEX('Прайс и заказ'!L:L,$J741)))</f>
      </c>
      <c r="I741" s="13" t="str">
        <f>IF($J741=0,"",IF(INDEX('Прайс и заказ'!M:M,$J741)="","",INDEX('Прайс и заказ'!M:M,$J741)))</f>
      </c>
      <c r="J741" t="str">
        <f>IFERROR(MATCH(733,'Прайс и заказ'!$N$7:$N$781,0)+6,0)</f>
      </c>
    </row>
    <row r="742" spans="1:11" customHeight="1" ht="40">
      <c r="A742" s="13" t="str">
        <f>IF($J742=0,"",IFERROR(_xlfn.IMAGE(INDEX('Прайс и заказ'!$O:$O,$J742)),""))</f>
      </c>
      <c r="B742" s="61" t="str">
        <f>IF($J742=0,"",IF(INDEX('Прайс и заказ'!B:B,$J742)="","",INDEX('Прайс и заказ'!B:B,$J742)))</f>
      </c>
      <c r="C742" s="64" t="str">
        <f>IF($J742=0,"",IF(INDEX('Прайс и заказ'!C:C,$J742)="","",INDEX('Прайс и заказ'!C:C,$J742)))</f>
      </c>
      <c r="D742" s="64" t="str">
        <f>IF($J742=0,"",IF(INDEX('Прайс и заказ'!D:D,$J742)="","",INDEX('Прайс и заказ'!D:D,$J742)))</f>
      </c>
      <c r="E742" s="61" t="str">
        <f>IF($J742=0,"",IF(INDEX('Прайс и заказ'!F:F,$J742)="","",INDEX('Прайс и заказ'!F:F,$J742)))</f>
      </c>
      <c r="F742" s="62" t="str">
        <f>IF($J742=0,"",IF(INDEX('Прайс и заказ'!I:I,$J742)="","",INDEX('Прайс и заказ'!I:I,$J742)))</f>
      </c>
      <c r="G742" s="63" t="str">
        <f>IF($J742=0,"",IF(INDEX('Прайс и заказ'!K:K,$J742)="","",INDEX('Прайс и заказ'!K:K,$J742)))</f>
      </c>
      <c r="H742" s="62" t="str">
        <f>IF($J742=0,"",IF(INDEX('Прайс и заказ'!L:L,$J742)="","",INDEX('Прайс и заказ'!L:L,$J742)))</f>
      </c>
      <c r="I742" s="13" t="str">
        <f>IF($J742=0,"",IF(INDEX('Прайс и заказ'!M:M,$J742)="","",INDEX('Прайс и заказ'!M:M,$J742)))</f>
      </c>
      <c r="J742" t="str">
        <f>IFERROR(MATCH(734,'Прайс и заказ'!$N$7:$N$781,0)+6,0)</f>
      </c>
    </row>
    <row r="743" spans="1:11" customHeight="1" ht="40">
      <c r="A743" s="13" t="str">
        <f>IF($J743=0,"",IFERROR(_xlfn.IMAGE(INDEX('Прайс и заказ'!$O:$O,$J743)),""))</f>
      </c>
      <c r="B743" s="61" t="str">
        <f>IF($J743=0,"",IF(INDEX('Прайс и заказ'!B:B,$J743)="","",INDEX('Прайс и заказ'!B:B,$J743)))</f>
      </c>
      <c r="C743" s="64" t="str">
        <f>IF($J743=0,"",IF(INDEX('Прайс и заказ'!C:C,$J743)="","",INDEX('Прайс и заказ'!C:C,$J743)))</f>
      </c>
      <c r="D743" s="64" t="str">
        <f>IF($J743=0,"",IF(INDEX('Прайс и заказ'!D:D,$J743)="","",INDEX('Прайс и заказ'!D:D,$J743)))</f>
      </c>
      <c r="E743" s="61" t="str">
        <f>IF($J743=0,"",IF(INDEX('Прайс и заказ'!F:F,$J743)="","",INDEX('Прайс и заказ'!F:F,$J743)))</f>
      </c>
      <c r="F743" s="62" t="str">
        <f>IF($J743=0,"",IF(INDEX('Прайс и заказ'!I:I,$J743)="","",INDEX('Прайс и заказ'!I:I,$J743)))</f>
      </c>
      <c r="G743" s="63" t="str">
        <f>IF($J743=0,"",IF(INDEX('Прайс и заказ'!K:K,$J743)="","",INDEX('Прайс и заказ'!K:K,$J743)))</f>
      </c>
      <c r="H743" s="62" t="str">
        <f>IF($J743=0,"",IF(INDEX('Прайс и заказ'!L:L,$J743)="","",INDEX('Прайс и заказ'!L:L,$J743)))</f>
      </c>
      <c r="I743" s="13" t="str">
        <f>IF($J743=0,"",IF(INDEX('Прайс и заказ'!M:M,$J743)="","",INDEX('Прайс и заказ'!M:M,$J743)))</f>
      </c>
      <c r="J743" t="str">
        <f>IFERROR(MATCH(735,'Прайс и заказ'!$N$7:$N$781,0)+6,0)</f>
      </c>
    </row>
    <row r="744" spans="1:11" customHeight="1" ht="40">
      <c r="A744" s="13" t="str">
        <f>IF($J744=0,"",IFERROR(_xlfn.IMAGE(INDEX('Прайс и заказ'!$O:$O,$J744)),""))</f>
      </c>
      <c r="B744" s="61" t="str">
        <f>IF($J744=0,"",IF(INDEX('Прайс и заказ'!B:B,$J744)="","",INDEX('Прайс и заказ'!B:B,$J744)))</f>
      </c>
      <c r="C744" s="64" t="str">
        <f>IF($J744=0,"",IF(INDEX('Прайс и заказ'!C:C,$J744)="","",INDEX('Прайс и заказ'!C:C,$J744)))</f>
      </c>
      <c r="D744" s="64" t="str">
        <f>IF($J744=0,"",IF(INDEX('Прайс и заказ'!D:D,$J744)="","",INDEX('Прайс и заказ'!D:D,$J744)))</f>
      </c>
      <c r="E744" s="61" t="str">
        <f>IF($J744=0,"",IF(INDEX('Прайс и заказ'!F:F,$J744)="","",INDEX('Прайс и заказ'!F:F,$J744)))</f>
      </c>
      <c r="F744" s="62" t="str">
        <f>IF($J744=0,"",IF(INDEX('Прайс и заказ'!I:I,$J744)="","",INDEX('Прайс и заказ'!I:I,$J744)))</f>
      </c>
      <c r="G744" s="63" t="str">
        <f>IF($J744=0,"",IF(INDEX('Прайс и заказ'!K:K,$J744)="","",INDEX('Прайс и заказ'!K:K,$J744)))</f>
      </c>
      <c r="H744" s="62" t="str">
        <f>IF($J744=0,"",IF(INDEX('Прайс и заказ'!L:L,$J744)="","",INDEX('Прайс и заказ'!L:L,$J744)))</f>
      </c>
      <c r="I744" s="13" t="str">
        <f>IF($J744=0,"",IF(INDEX('Прайс и заказ'!M:M,$J744)="","",INDEX('Прайс и заказ'!M:M,$J744)))</f>
      </c>
      <c r="J744" t="str">
        <f>IFERROR(MATCH(736,'Прайс и заказ'!$N$7:$N$781,0)+6,0)</f>
      </c>
    </row>
    <row r="745" spans="1:11" customHeight="1" ht="40">
      <c r="A745" s="13" t="str">
        <f>IF($J745=0,"",IFERROR(_xlfn.IMAGE(INDEX('Прайс и заказ'!$O:$O,$J745)),""))</f>
      </c>
      <c r="B745" s="61" t="str">
        <f>IF($J745=0,"",IF(INDEX('Прайс и заказ'!B:B,$J745)="","",INDEX('Прайс и заказ'!B:B,$J745)))</f>
      </c>
      <c r="C745" s="64" t="str">
        <f>IF($J745=0,"",IF(INDEX('Прайс и заказ'!C:C,$J745)="","",INDEX('Прайс и заказ'!C:C,$J745)))</f>
      </c>
      <c r="D745" s="64" t="str">
        <f>IF($J745=0,"",IF(INDEX('Прайс и заказ'!D:D,$J745)="","",INDEX('Прайс и заказ'!D:D,$J745)))</f>
      </c>
      <c r="E745" s="61" t="str">
        <f>IF($J745=0,"",IF(INDEX('Прайс и заказ'!F:F,$J745)="","",INDEX('Прайс и заказ'!F:F,$J745)))</f>
      </c>
      <c r="F745" s="62" t="str">
        <f>IF($J745=0,"",IF(INDEX('Прайс и заказ'!I:I,$J745)="","",INDEX('Прайс и заказ'!I:I,$J745)))</f>
      </c>
      <c r="G745" s="63" t="str">
        <f>IF($J745=0,"",IF(INDEX('Прайс и заказ'!K:K,$J745)="","",INDEX('Прайс и заказ'!K:K,$J745)))</f>
      </c>
      <c r="H745" s="62" t="str">
        <f>IF($J745=0,"",IF(INDEX('Прайс и заказ'!L:L,$J745)="","",INDEX('Прайс и заказ'!L:L,$J745)))</f>
      </c>
      <c r="I745" s="13" t="str">
        <f>IF($J745=0,"",IF(INDEX('Прайс и заказ'!M:M,$J745)="","",INDEX('Прайс и заказ'!M:M,$J745)))</f>
      </c>
      <c r="J745" t="str">
        <f>IFERROR(MATCH(737,'Прайс и заказ'!$N$7:$N$781,0)+6,0)</f>
      </c>
    </row>
    <row r="746" spans="1:11" customHeight="1" ht="40">
      <c r="A746" s="13" t="str">
        <f>IF($J746=0,"",IFERROR(_xlfn.IMAGE(INDEX('Прайс и заказ'!$O:$O,$J746)),""))</f>
      </c>
      <c r="B746" s="61" t="str">
        <f>IF($J746=0,"",IF(INDEX('Прайс и заказ'!B:B,$J746)="","",INDEX('Прайс и заказ'!B:B,$J746)))</f>
      </c>
      <c r="C746" s="64" t="str">
        <f>IF($J746=0,"",IF(INDEX('Прайс и заказ'!C:C,$J746)="","",INDEX('Прайс и заказ'!C:C,$J746)))</f>
      </c>
      <c r="D746" s="64" t="str">
        <f>IF($J746=0,"",IF(INDEX('Прайс и заказ'!D:D,$J746)="","",INDEX('Прайс и заказ'!D:D,$J746)))</f>
      </c>
      <c r="E746" s="61" t="str">
        <f>IF($J746=0,"",IF(INDEX('Прайс и заказ'!F:F,$J746)="","",INDEX('Прайс и заказ'!F:F,$J746)))</f>
      </c>
      <c r="F746" s="62" t="str">
        <f>IF($J746=0,"",IF(INDEX('Прайс и заказ'!I:I,$J746)="","",INDEX('Прайс и заказ'!I:I,$J746)))</f>
      </c>
      <c r="G746" s="63" t="str">
        <f>IF($J746=0,"",IF(INDEX('Прайс и заказ'!K:K,$J746)="","",INDEX('Прайс и заказ'!K:K,$J746)))</f>
      </c>
      <c r="H746" s="62" t="str">
        <f>IF($J746=0,"",IF(INDEX('Прайс и заказ'!L:L,$J746)="","",INDEX('Прайс и заказ'!L:L,$J746)))</f>
      </c>
      <c r="I746" s="13" t="str">
        <f>IF($J746=0,"",IF(INDEX('Прайс и заказ'!M:M,$J746)="","",INDEX('Прайс и заказ'!M:M,$J746)))</f>
      </c>
      <c r="J746" t="str">
        <f>IFERROR(MATCH(738,'Прайс и заказ'!$N$7:$N$781,0)+6,0)</f>
      </c>
    </row>
    <row r="747" spans="1:11" customHeight="1" ht="40">
      <c r="A747" s="13" t="str">
        <f>IF($J747=0,"",IFERROR(_xlfn.IMAGE(INDEX('Прайс и заказ'!$O:$O,$J747)),""))</f>
      </c>
      <c r="B747" s="61" t="str">
        <f>IF($J747=0,"",IF(INDEX('Прайс и заказ'!B:B,$J747)="","",INDEX('Прайс и заказ'!B:B,$J747)))</f>
      </c>
      <c r="C747" s="64" t="str">
        <f>IF($J747=0,"",IF(INDEX('Прайс и заказ'!C:C,$J747)="","",INDEX('Прайс и заказ'!C:C,$J747)))</f>
      </c>
      <c r="D747" s="64" t="str">
        <f>IF($J747=0,"",IF(INDEX('Прайс и заказ'!D:D,$J747)="","",INDEX('Прайс и заказ'!D:D,$J747)))</f>
      </c>
      <c r="E747" s="61" t="str">
        <f>IF($J747=0,"",IF(INDEX('Прайс и заказ'!F:F,$J747)="","",INDEX('Прайс и заказ'!F:F,$J747)))</f>
      </c>
      <c r="F747" s="62" t="str">
        <f>IF($J747=0,"",IF(INDEX('Прайс и заказ'!I:I,$J747)="","",INDEX('Прайс и заказ'!I:I,$J747)))</f>
      </c>
      <c r="G747" s="63" t="str">
        <f>IF($J747=0,"",IF(INDEX('Прайс и заказ'!K:K,$J747)="","",INDEX('Прайс и заказ'!K:K,$J747)))</f>
      </c>
      <c r="H747" s="62" t="str">
        <f>IF($J747=0,"",IF(INDEX('Прайс и заказ'!L:L,$J747)="","",INDEX('Прайс и заказ'!L:L,$J747)))</f>
      </c>
      <c r="I747" s="13" t="str">
        <f>IF($J747=0,"",IF(INDEX('Прайс и заказ'!M:M,$J747)="","",INDEX('Прайс и заказ'!M:M,$J747)))</f>
      </c>
      <c r="J747" t="str">
        <f>IFERROR(MATCH(739,'Прайс и заказ'!$N$7:$N$781,0)+6,0)</f>
      </c>
    </row>
    <row r="748" spans="1:11" customHeight="1" ht="40">
      <c r="A748" s="13" t="str">
        <f>IF($J748=0,"",IFERROR(_xlfn.IMAGE(INDEX('Прайс и заказ'!$O:$O,$J748)),""))</f>
      </c>
      <c r="B748" s="61" t="str">
        <f>IF($J748=0,"",IF(INDEX('Прайс и заказ'!B:B,$J748)="","",INDEX('Прайс и заказ'!B:B,$J748)))</f>
      </c>
      <c r="C748" s="64" t="str">
        <f>IF($J748=0,"",IF(INDEX('Прайс и заказ'!C:C,$J748)="","",INDEX('Прайс и заказ'!C:C,$J748)))</f>
      </c>
      <c r="D748" s="64" t="str">
        <f>IF($J748=0,"",IF(INDEX('Прайс и заказ'!D:D,$J748)="","",INDEX('Прайс и заказ'!D:D,$J748)))</f>
      </c>
      <c r="E748" s="61" t="str">
        <f>IF($J748=0,"",IF(INDEX('Прайс и заказ'!F:F,$J748)="","",INDEX('Прайс и заказ'!F:F,$J748)))</f>
      </c>
      <c r="F748" s="62" t="str">
        <f>IF($J748=0,"",IF(INDEX('Прайс и заказ'!I:I,$J748)="","",INDEX('Прайс и заказ'!I:I,$J748)))</f>
      </c>
      <c r="G748" s="63" t="str">
        <f>IF($J748=0,"",IF(INDEX('Прайс и заказ'!K:K,$J748)="","",INDEX('Прайс и заказ'!K:K,$J748)))</f>
      </c>
      <c r="H748" s="62" t="str">
        <f>IF($J748=0,"",IF(INDEX('Прайс и заказ'!L:L,$J748)="","",INDEX('Прайс и заказ'!L:L,$J748)))</f>
      </c>
      <c r="I748" s="13" t="str">
        <f>IF($J748=0,"",IF(INDEX('Прайс и заказ'!M:M,$J748)="","",INDEX('Прайс и заказ'!M:M,$J748)))</f>
      </c>
      <c r="J748" t="str">
        <f>IFERROR(MATCH(740,'Прайс и заказ'!$N$7:$N$781,0)+6,0)</f>
      </c>
    </row>
    <row r="749" spans="1:11" customHeight="1" ht="40">
      <c r="A749" s="13" t="str">
        <f>IF($J749=0,"",IFERROR(_xlfn.IMAGE(INDEX('Прайс и заказ'!$O:$O,$J749)),""))</f>
      </c>
      <c r="B749" s="61" t="str">
        <f>IF($J749=0,"",IF(INDEX('Прайс и заказ'!B:B,$J749)="","",INDEX('Прайс и заказ'!B:B,$J749)))</f>
      </c>
      <c r="C749" s="64" t="str">
        <f>IF($J749=0,"",IF(INDEX('Прайс и заказ'!C:C,$J749)="","",INDEX('Прайс и заказ'!C:C,$J749)))</f>
      </c>
      <c r="D749" s="64" t="str">
        <f>IF($J749=0,"",IF(INDEX('Прайс и заказ'!D:D,$J749)="","",INDEX('Прайс и заказ'!D:D,$J749)))</f>
      </c>
      <c r="E749" s="61" t="str">
        <f>IF($J749=0,"",IF(INDEX('Прайс и заказ'!F:F,$J749)="","",INDEX('Прайс и заказ'!F:F,$J749)))</f>
      </c>
      <c r="F749" s="62" t="str">
        <f>IF($J749=0,"",IF(INDEX('Прайс и заказ'!I:I,$J749)="","",INDEX('Прайс и заказ'!I:I,$J749)))</f>
      </c>
      <c r="G749" s="63" t="str">
        <f>IF($J749=0,"",IF(INDEX('Прайс и заказ'!K:K,$J749)="","",INDEX('Прайс и заказ'!K:K,$J749)))</f>
      </c>
      <c r="H749" s="62" t="str">
        <f>IF($J749=0,"",IF(INDEX('Прайс и заказ'!L:L,$J749)="","",INDEX('Прайс и заказ'!L:L,$J749)))</f>
      </c>
      <c r="I749" s="13" t="str">
        <f>IF($J749=0,"",IF(INDEX('Прайс и заказ'!M:M,$J749)="","",INDEX('Прайс и заказ'!M:M,$J749)))</f>
      </c>
      <c r="J749" t="str">
        <f>IFERROR(MATCH(741,'Прайс и заказ'!$N$7:$N$781,0)+6,0)</f>
      </c>
    </row>
    <row r="750" spans="1:11" customHeight="1" ht="40">
      <c r="A750" s="13" t="str">
        <f>IF($J750=0,"",IFERROR(_xlfn.IMAGE(INDEX('Прайс и заказ'!$O:$O,$J750)),""))</f>
      </c>
      <c r="B750" s="61" t="str">
        <f>IF($J750=0,"",IF(INDEX('Прайс и заказ'!B:B,$J750)="","",INDEX('Прайс и заказ'!B:B,$J750)))</f>
      </c>
      <c r="C750" s="64" t="str">
        <f>IF($J750=0,"",IF(INDEX('Прайс и заказ'!C:C,$J750)="","",INDEX('Прайс и заказ'!C:C,$J750)))</f>
      </c>
      <c r="D750" s="64" t="str">
        <f>IF($J750=0,"",IF(INDEX('Прайс и заказ'!D:D,$J750)="","",INDEX('Прайс и заказ'!D:D,$J750)))</f>
      </c>
      <c r="E750" s="61" t="str">
        <f>IF($J750=0,"",IF(INDEX('Прайс и заказ'!F:F,$J750)="","",INDEX('Прайс и заказ'!F:F,$J750)))</f>
      </c>
      <c r="F750" s="62" t="str">
        <f>IF($J750=0,"",IF(INDEX('Прайс и заказ'!I:I,$J750)="","",INDEX('Прайс и заказ'!I:I,$J750)))</f>
      </c>
      <c r="G750" s="63" t="str">
        <f>IF($J750=0,"",IF(INDEX('Прайс и заказ'!K:K,$J750)="","",INDEX('Прайс и заказ'!K:K,$J750)))</f>
      </c>
      <c r="H750" s="62" t="str">
        <f>IF($J750=0,"",IF(INDEX('Прайс и заказ'!L:L,$J750)="","",INDEX('Прайс и заказ'!L:L,$J750)))</f>
      </c>
      <c r="I750" s="13" t="str">
        <f>IF($J750=0,"",IF(INDEX('Прайс и заказ'!M:M,$J750)="","",INDEX('Прайс и заказ'!M:M,$J750)))</f>
      </c>
      <c r="J750" t="str">
        <f>IFERROR(MATCH(742,'Прайс и заказ'!$N$7:$N$781,0)+6,0)</f>
      </c>
    </row>
    <row r="751" spans="1:11" customHeight="1" ht="40">
      <c r="A751" s="13" t="str">
        <f>IF($J751=0,"",IFERROR(_xlfn.IMAGE(INDEX('Прайс и заказ'!$O:$O,$J751)),""))</f>
      </c>
      <c r="B751" s="61" t="str">
        <f>IF($J751=0,"",IF(INDEX('Прайс и заказ'!B:B,$J751)="","",INDEX('Прайс и заказ'!B:B,$J751)))</f>
      </c>
      <c r="C751" s="64" t="str">
        <f>IF($J751=0,"",IF(INDEX('Прайс и заказ'!C:C,$J751)="","",INDEX('Прайс и заказ'!C:C,$J751)))</f>
      </c>
      <c r="D751" s="64" t="str">
        <f>IF($J751=0,"",IF(INDEX('Прайс и заказ'!D:D,$J751)="","",INDEX('Прайс и заказ'!D:D,$J751)))</f>
      </c>
      <c r="E751" s="61" t="str">
        <f>IF($J751=0,"",IF(INDEX('Прайс и заказ'!F:F,$J751)="","",INDEX('Прайс и заказ'!F:F,$J751)))</f>
      </c>
      <c r="F751" s="62" t="str">
        <f>IF($J751=0,"",IF(INDEX('Прайс и заказ'!I:I,$J751)="","",INDEX('Прайс и заказ'!I:I,$J751)))</f>
      </c>
      <c r="G751" s="63" t="str">
        <f>IF($J751=0,"",IF(INDEX('Прайс и заказ'!K:K,$J751)="","",INDEX('Прайс и заказ'!K:K,$J751)))</f>
      </c>
      <c r="H751" s="62" t="str">
        <f>IF($J751=0,"",IF(INDEX('Прайс и заказ'!L:L,$J751)="","",INDEX('Прайс и заказ'!L:L,$J751)))</f>
      </c>
      <c r="I751" s="13" t="str">
        <f>IF($J751=0,"",IF(INDEX('Прайс и заказ'!M:M,$J751)="","",INDEX('Прайс и заказ'!M:M,$J751)))</f>
      </c>
      <c r="J751" t="str">
        <f>IFERROR(MATCH(743,'Прайс и заказ'!$N$7:$N$781,0)+6,0)</f>
      </c>
    </row>
    <row r="752" spans="1:11" customHeight="1" ht="40">
      <c r="A752" s="13" t="str">
        <f>IF($J752=0,"",IFERROR(_xlfn.IMAGE(INDEX('Прайс и заказ'!$O:$O,$J752)),""))</f>
      </c>
      <c r="B752" s="61" t="str">
        <f>IF($J752=0,"",IF(INDEX('Прайс и заказ'!B:B,$J752)="","",INDEX('Прайс и заказ'!B:B,$J752)))</f>
      </c>
      <c r="C752" s="64" t="str">
        <f>IF($J752=0,"",IF(INDEX('Прайс и заказ'!C:C,$J752)="","",INDEX('Прайс и заказ'!C:C,$J752)))</f>
      </c>
      <c r="D752" s="64" t="str">
        <f>IF($J752=0,"",IF(INDEX('Прайс и заказ'!D:D,$J752)="","",INDEX('Прайс и заказ'!D:D,$J752)))</f>
      </c>
      <c r="E752" s="61" t="str">
        <f>IF($J752=0,"",IF(INDEX('Прайс и заказ'!F:F,$J752)="","",INDEX('Прайс и заказ'!F:F,$J752)))</f>
      </c>
      <c r="F752" s="62" t="str">
        <f>IF($J752=0,"",IF(INDEX('Прайс и заказ'!I:I,$J752)="","",INDEX('Прайс и заказ'!I:I,$J752)))</f>
      </c>
      <c r="G752" s="63" t="str">
        <f>IF($J752=0,"",IF(INDEX('Прайс и заказ'!K:K,$J752)="","",INDEX('Прайс и заказ'!K:K,$J752)))</f>
      </c>
      <c r="H752" s="62" t="str">
        <f>IF($J752=0,"",IF(INDEX('Прайс и заказ'!L:L,$J752)="","",INDEX('Прайс и заказ'!L:L,$J752)))</f>
      </c>
      <c r="I752" s="13" t="str">
        <f>IF($J752=0,"",IF(INDEX('Прайс и заказ'!M:M,$J752)="","",INDEX('Прайс и заказ'!M:M,$J752)))</f>
      </c>
      <c r="J752" t="str">
        <f>IFERROR(MATCH(744,'Прайс и заказ'!$N$7:$N$781,0)+6,0)</f>
      </c>
    </row>
    <row r="753" spans="1:11" customHeight="1" ht="40">
      <c r="A753" s="13" t="str">
        <f>IF($J753=0,"",IFERROR(_xlfn.IMAGE(INDEX('Прайс и заказ'!$O:$O,$J753)),""))</f>
      </c>
      <c r="B753" s="61" t="str">
        <f>IF($J753=0,"",IF(INDEX('Прайс и заказ'!B:B,$J753)="","",INDEX('Прайс и заказ'!B:B,$J753)))</f>
      </c>
      <c r="C753" s="64" t="str">
        <f>IF($J753=0,"",IF(INDEX('Прайс и заказ'!C:C,$J753)="","",INDEX('Прайс и заказ'!C:C,$J753)))</f>
      </c>
      <c r="D753" s="64" t="str">
        <f>IF($J753=0,"",IF(INDEX('Прайс и заказ'!D:D,$J753)="","",INDEX('Прайс и заказ'!D:D,$J753)))</f>
      </c>
      <c r="E753" s="61" t="str">
        <f>IF($J753=0,"",IF(INDEX('Прайс и заказ'!F:F,$J753)="","",INDEX('Прайс и заказ'!F:F,$J753)))</f>
      </c>
      <c r="F753" s="62" t="str">
        <f>IF($J753=0,"",IF(INDEX('Прайс и заказ'!I:I,$J753)="","",INDEX('Прайс и заказ'!I:I,$J753)))</f>
      </c>
      <c r="G753" s="63" t="str">
        <f>IF($J753=0,"",IF(INDEX('Прайс и заказ'!K:K,$J753)="","",INDEX('Прайс и заказ'!K:K,$J753)))</f>
      </c>
      <c r="H753" s="62" t="str">
        <f>IF($J753=0,"",IF(INDEX('Прайс и заказ'!L:L,$J753)="","",INDEX('Прайс и заказ'!L:L,$J753)))</f>
      </c>
      <c r="I753" s="13" t="str">
        <f>IF($J753=0,"",IF(INDEX('Прайс и заказ'!M:M,$J753)="","",INDEX('Прайс и заказ'!M:M,$J753)))</f>
      </c>
      <c r="J753" t="str">
        <f>IFERROR(MATCH(745,'Прайс и заказ'!$N$7:$N$781,0)+6,0)</f>
      </c>
    </row>
    <row r="754" spans="1:11" customHeight="1" ht="40">
      <c r="A754" s="13" t="str">
        <f>IF($J754=0,"",IFERROR(_xlfn.IMAGE(INDEX('Прайс и заказ'!$O:$O,$J754)),""))</f>
      </c>
      <c r="B754" s="61" t="str">
        <f>IF($J754=0,"",IF(INDEX('Прайс и заказ'!B:B,$J754)="","",INDEX('Прайс и заказ'!B:B,$J754)))</f>
      </c>
      <c r="C754" s="64" t="str">
        <f>IF($J754=0,"",IF(INDEX('Прайс и заказ'!C:C,$J754)="","",INDEX('Прайс и заказ'!C:C,$J754)))</f>
      </c>
      <c r="D754" s="64" t="str">
        <f>IF($J754=0,"",IF(INDEX('Прайс и заказ'!D:D,$J754)="","",INDEX('Прайс и заказ'!D:D,$J754)))</f>
      </c>
      <c r="E754" s="61" t="str">
        <f>IF($J754=0,"",IF(INDEX('Прайс и заказ'!F:F,$J754)="","",INDEX('Прайс и заказ'!F:F,$J754)))</f>
      </c>
      <c r="F754" s="62" t="str">
        <f>IF($J754=0,"",IF(INDEX('Прайс и заказ'!I:I,$J754)="","",INDEX('Прайс и заказ'!I:I,$J754)))</f>
      </c>
      <c r="G754" s="63" t="str">
        <f>IF($J754=0,"",IF(INDEX('Прайс и заказ'!K:K,$J754)="","",INDEX('Прайс и заказ'!K:K,$J754)))</f>
      </c>
      <c r="H754" s="62" t="str">
        <f>IF($J754=0,"",IF(INDEX('Прайс и заказ'!L:L,$J754)="","",INDEX('Прайс и заказ'!L:L,$J754)))</f>
      </c>
      <c r="I754" s="13" t="str">
        <f>IF($J754=0,"",IF(INDEX('Прайс и заказ'!M:M,$J754)="","",INDEX('Прайс и заказ'!M:M,$J754)))</f>
      </c>
      <c r="J754" t="str">
        <f>IFERROR(MATCH(746,'Прайс и заказ'!$N$7:$N$781,0)+6,0)</f>
      </c>
    </row>
    <row r="755" spans="1:11" customHeight="1" ht="40">
      <c r="A755" s="13" t="str">
        <f>IF($J755=0,"",IFERROR(_xlfn.IMAGE(INDEX('Прайс и заказ'!$O:$O,$J755)),""))</f>
      </c>
      <c r="B755" s="61" t="str">
        <f>IF($J755=0,"",IF(INDEX('Прайс и заказ'!B:B,$J755)="","",INDEX('Прайс и заказ'!B:B,$J755)))</f>
      </c>
      <c r="C755" s="64" t="str">
        <f>IF($J755=0,"",IF(INDEX('Прайс и заказ'!C:C,$J755)="","",INDEX('Прайс и заказ'!C:C,$J755)))</f>
      </c>
      <c r="D755" s="64" t="str">
        <f>IF($J755=0,"",IF(INDEX('Прайс и заказ'!D:D,$J755)="","",INDEX('Прайс и заказ'!D:D,$J755)))</f>
      </c>
      <c r="E755" s="61" t="str">
        <f>IF($J755=0,"",IF(INDEX('Прайс и заказ'!F:F,$J755)="","",INDEX('Прайс и заказ'!F:F,$J755)))</f>
      </c>
      <c r="F755" s="62" t="str">
        <f>IF($J755=0,"",IF(INDEX('Прайс и заказ'!I:I,$J755)="","",INDEX('Прайс и заказ'!I:I,$J755)))</f>
      </c>
      <c r="G755" s="63" t="str">
        <f>IF($J755=0,"",IF(INDEX('Прайс и заказ'!K:K,$J755)="","",INDEX('Прайс и заказ'!K:K,$J755)))</f>
      </c>
      <c r="H755" s="62" t="str">
        <f>IF($J755=0,"",IF(INDEX('Прайс и заказ'!L:L,$J755)="","",INDEX('Прайс и заказ'!L:L,$J755)))</f>
      </c>
      <c r="I755" s="13" t="str">
        <f>IF($J755=0,"",IF(INDEX('Прайс и заказ'!M:M,$J755)="","",INDEX('Прайс и заказ'!M:M,$J755)))</f>
      </c>
      <c r="J755" t="str">
        <f>IFERROR(MATCH(747,'Прайс и заказ'!$N$7:$N$781,0)+6,0)</f>
      </c>
    </row>
    <row r="756" spans="1:11" customHeight="1" ht="40">
      <c r="A756" s="13" t="str">
        <f>IF($J756=0,"",IFERROR(_xlfn.IMAGE(INDEX('Прайс и заказ'!$O:$O,$J756)),""))</f>
      </c>
      <c r="B756" s="61" t="str">
        <f>IF($J756=0,"",IF(INDEX('Прайс и заказ'!B:B,$J756)="","",INDEX('Прайс и заказ'!B:B,$J756)))</f>
      </c>
      <c r="C756" s="64" t="str">
        <f>IF($J756=0,"",IF(INDEX('Прайс и заказ'!C:C,$J756)="","",INDEX('Прайс и заказ'!C:C,$J756)))</f>
      </c>
      <c r="D756" s="64" t="str">
        <f>IF($J756=0,"",IF(INDEX('Прайс и заказ'!D:D,$J756)="","",INDEX('Прайс и заказ'!D:D,$J756)))</f>
      </c>
      <c r="E756" s="61" t="str">
        <f>IF($J756=0,"",IF(INDEX('Прайс и заказ'!F:F,$J756)="","",INDEX('Прайс и заказ'!F:F,$J756)))</f>
      </c>
      <c r="F756" s="62" t="str">
        <f>IF($J756=0,"",IF(INDEX('Прайс и заказ'!I:I,$J756)="","",INDEX('Прайс и заказ'!I:I,$J756)))</f>
      </c>
      <c r="G756" s="63" t="str">
        <f>IF($J756=0,"",IF(INDEX('Прайс и заказ'!K:K,$J756)="","",INDEX('Прайс и заказ'!K:K,$J756)))</f>
      </c>
      <c r="H756" s="62" t="str">
        <f>IF($J756=0,"",IF(INDEX('Прайс и заказ'!L:L,$J756)="","",INDEX('Прайс и заказ'!L:L,$J756)))</f>
      </c>
      <c r="I756" s="13" t="str">
        <f>IF($J756=0,"",IF(INDEX('Прайс и заказ'!M:M,$J756)="","",INDEX('Прайс и заказ'!M:M,$J756)))</f>
      </c>
      <c r="J756" t="str">
        <f>IFERROR(MATCH(748,'Прайс и заказ'!$N$7:$N$781,0)+6,0)</f>
      </c>
    </row>
    <row r="757" spans="1:11" customHeight="1" ht="40">
      <c r="A757" s="13" t="str">
        <f>IF($J757=0,"",IFERROR(_xlfn.IMAGE(INDEX('Прайс и заказ'!$O:$O,$J757)),""))</f>
      </c>
      <c r="B757" s="61" t="str">
        <f>IF($J757=0,"",IF(INDEX('Прайс и заказ'!B:B,$J757)="","",INDEX('Прайс и заказ'!B:B,$J757)))</f>
      </c>
      <c r="C757" s="64" t="str">
        <f>IF($J757=0,"",IF(INDEX('Прайс и заказ'!C:C,$J757)="","",INDEX('Прайс и заказ'!C:C,$J757)))</f>
      </c>
      <c r="D757" s="64" t="str">
        <f>IF($J757=0,"",IF(INDEX('Прайс и заказ'!D:D,$J757)="","",INDEX('Прайс и заказ'!D:D,$J757)))</f>
      </c>
      <c r="E757" s="61" t="str">
        <f>IF($J757=0,"",IF(INDEX('Прайс и заказ'!F:F,$J757)="","",INDEX('Прайс и заказ'!F:F,$J757)))</f>
      </c>
      <c r="F757" s="62" t="str">
        <f>IF($J757=0,"",IF(INDEX('Прайс и заказ'!I:I,$J757)="","",INDEX('Прайс и заказ'!I:I,$J757)))</f>
      </c>
      <c r="G757" s="63" t="str">
        <f>IF($J757=0,"",IF(INDEX('Прайс и заказ'!K:K,$J757)="","",INDEX('Прайс и заказ'!K:K,$J757)))</f>
      </c>
      <c r="H757" s="62" t="str">
        <f>IF($J757=0,"",IF(INDEX('Прайс и заказ'!L:L,$J757)="","",INDEX('Прайс и заказ'!L:L,$J757)))</f>
      </c>
      <c r="I757" s="13" t="str">
        <f>IF($J757=0,"",IF(INDEX('Прайс и заказ'!M:M,$J757)="","",INDEX('Прайс и заказ'!M:M,$J757)))</f>
      </c>
      <c r="J757" t="str">
        <f>IFERROR(MATCH(749,'Прайс и заказ'!$N$7:$N$781,0)+6,0)</f>
      </c>
    </row>
    <row r="758" spans="1:11" customHeight="1" ht="40">
      <c r="A758" s="13" t="str">
        <f>IF($J758=0,"",IFERROR(_xlfn.IMAGE(INDEX('Прайс и заказ'!$O:$O,$J758)),""))</f>
      </c>
      <c r="B758" s="61" t="str">
        <f>IF($J758=0,"",IF(INDEX('Прайс и заказ'!B:B,$J758)="","",INDEX('Прайс и заказ'!B:B,$J758)))</f>
      </c>
      <c r="C758" s="64" t="str">
        <f>IF($J758=0,"",IF(INDEX('Прайс и заказ'!C:C,$J758)="","",INDEX('Прайс и заказ'!C:C,$J758)))</f>
      </c>
      <c r="D758" s="64" t="str">
        <f>IF($J758=0,"",IF(INDEX('Прайс и заказ'!D:D,$J758)="","",INDEX('Прайс и заказ'!D:D,$J758)))</f>
      </c>
      <c r="E758" s="61" t="str">
        <f>IF($J758=0,"",IF(INDEX('Прайс и заказ'!F:F,$J758)="","",INDEX('Прайс и заказ'!F:F,$J758)))</f>
      </c>
      <c r="F758" s="62" t="str">
        <f>IF($J758=0,"",IF(INDEX('Прайс и заказ'!I:I,$J758)="","",INDEX('Прайс и заказ'!I:I,$J758)))</f>
      </c>
      <c r="G758" s="63" t="str">
        <f>IF($J758=0,"",IF(INDEX('Прайс и заказ'!K:K,$J758)="","",INDEX('Прайс и заказ'!K:K,$J758)))</f>
      </c>
      <c r="H758" s="62" t="str">
        <f>IF($J758=0,"",IF(INDEX('Прайс и заказ'!L:L,$J758)="","",INDEX('Прайс и заказ'!L:L,$J758)))</f>
      </c>
      <c r="I758" s="13" t="str">
        <f>IF($J758=0,"",IF(INDEX('Прайс и заказ'!M:M,$J758)="","",INDEX('Прайс и заказ'!M:M,$J758)))</f>
      </c>
      <c r="J758" t="str">
        <f>IFERROR(MATCH(750,'Прайс и заказ'!$N$7:$N$781,0)+6,0)</f>
      </c>
    </row>
    <row r="759" spans="1:11" customHeight="1" ht="40">
      <c r="A759" s="13" t="str">
        <f>IF($J759=0,"",IFERROR(_xlfn.IMAGE(INDEX('Прайс и заказ'!$O:$O,$J759)),""))</f>
      </c>
      <c r="B759" s="61" t="str">
        <f>IF($J759=0,"",IF(INDEX('Прайс и заказ'!B:B,$J759)="","",INDEX('Прайс и заказ'!B:B,$J759)))</f>
      </c>
      <c r="C759" s="64" t="str">
        <f>IF($J759=0,"",IF(INDEX('Прайс и заказ'!C:C,$J759)="","",INDEX('Прайс и заказ'!C:C,$J759)))</f>
      </c>
      <c r="D759" s="64" t="str">
        <f>IF($J759=0,"",IF(INDEX('Прайс и заказ'!D:D,$J759)="","",INDEX('Прайс и заказ'!D:D,$J759)))</f>
      </c>
      <c r="E759" s="61" t="str">
        <f>IF($J759=0,"",IF(INDEX('Прайс и заказ'!F:F,$J759)="","",INDEX('Прайс и заказ'!F:F,$J759)))</f>
      </c>
      <c r="F759" s="62" t="str">
        <f>IF($J759=0,"",IF(INDEX('Прайс и заказ'!I:I,$J759)="","",INDEX('Прайс и заказ'!I:I,$J759)))</f>
      </c>
      <c r="G759" s="63" t="str">
        <f>IF($J759=0,"",IF(INDEX('Прайс и заказ'!K:K,$J759)="","",INDEX('Прайс и заказ'!K:K,$J759)))</f>
      </c>
      <c r="H759" s="62" t="str">
        <f>IF($J759=0,"",IF(INDEX('Прайс и заказ'!L:L,$J759)="","",INDEX('Прайс и заказ'!L:L,$J759)))</f>
      </c>
      <c r="I759" s="13" t="str">
        <f>IF($J759=0,"",IF(INDEX('Прайс и заказ'!M:M,$J759)="","",INDEX('Прайс и заказ'!M:M,$J759)))</f>
      </c>
      <c r="J759" t="str">
        <f>IFERROR(MATCH(751,'Прайс и заказ'!$N$7:$N$781,0)+6,0)</f>
      </c>
    </row>
    <row r="760" spans="1:11" customHeight="1" ht="40">
      <c r="A760" s="13" t="str">
        <f>IF($J760=0,"",IFERROR(_xlfn.IMAGE(INDEX('Прайс и заказ'!$O:$O,$J760)),""))</f>
      </c>
      <c r="B760" s="61" t="str">
        <f>IF($J760=0,"",IF(INDEX('Прайс и заказ'!B:B,$J760)="","",INDEX('Прайс и заказ'!B:B,$J760)))</f>
      </c>
      <c r="C760" s="64" t="str">
        <f>IF($J760=0,"",IF(INDEX('Прайс и заказ'!C:C,$J760)="","",INDEX('Прайс и заказ'!C:C,$J760)))</f>
      </c>
      <c r="D760" s="64" t="str">
        <f>IF($J760=0,"",IF(INDEX('Прайс и заказ'!D:D,$J760)="","",INDEX('Прайс и заказ'!D:D,$J760)))</f>
      </c>
      <c r="E760" s="61" t="str">
        <f>IF($J760=0,"",IF(INDEX('Прайс и заказ'!F:F,$J760)="","",INDEX('Прайс и заказ'!F:F,$J760)))</f>
      </c>
      <c r="F760" s="62" t="str">
        <f>IF($J760=0,"",IF(INDEX('Прайс и заказ'!I:I,$J760)="","",INDEX('Прайс и заказ'!I:I,$J760)))</f>
      </c>
      <c r="G760" s="63" t="str">
        <f>IF($J760=0,"",IF(INDEX('Прайс и заказ'!K:K,$J760)="","",INDEX('Прайс и заказ'!K:K,$J760)))</f>
      </c>
      <c r="H760" s="62" t="str">
        <f>IF($J760=0,"",IF(INDEX('Прайс и заказ'!L:L,$J760)="","",INDEX('Прайс и заказ'!L:L,$J760)))</f>
      </c>
      <c r="I760" s="13" t="str">
        <f>IF($J760=0,"",IF(INDEX('Прайс и заказ'!M:M,$J760)="","",INDEX('Прайс и заказ'!M:M,$J760)))</f>
      </c>
      <c r="J760" t="str">
        <f>IFERROR(MATCH(752,'Прайс и заказ'!$N$7:$N$781,0)+6,0)</f>
      </c>
    </row>
    <row r="761" spans="1:11" customHeight="1" ht="40">
      <c r="A761" s="13" t="str">
        <f>IF($J761=0,"",IFERROR(_xlfn.IMAGE(INDEX('Прайс и заказ'!$O:$O,$J761)),""))</f>
      </c>
      <c r="B761" s="61" t="str">
        <f>IF($J761=0,"",IF(INDEX('Прайс и заказ'!B:B,$J761)="","",INDEX('Прайс и заказ'!B:B,$J761)))</f>
      </c>
      <c r="C761" s="64" t="str">
        <f>IF($J761=0,"",IF(INDEX('Прайс и заказ'!C:C,$J761)="","",INDEX('Прайс и заказ'!C:C,$J761)))</f>
      </c>
      <c r="D761" s="64" t="str">
        <f>IF($J761=0,"",IF(INDEX('Прайс и заказ'!D:D,$J761)="","",INDEX('Прайс и заказ'!D:D,$J761)))</f>
      </c>
      <c r="E761" s="61" t="str">
        <f>IF($J761=0,"",IF(INDEX('Прайс и заказ'!F:F,$J761)="","",INDEX('Прайс и заказ'!F:F,$J761)))</f>
      </c>
      <c r="F761" s="62" t="str">
        <f>IF($J761=0,"",IF(INDEX('Прайс и заказ'!I:I,$J761)="","",INDEX('Прайс и заказ'!I:I,$J761)))</f>
      </c>
      <c r="G761" s="63" t="str">
        <f>IF($J761=0,"",IF(INDEX('Прайс и заказ'!K:K,$J761)="","",INDEX('Прайс и заказ'!K:K,$J761)))</f>
      </c>
      <c r="H761" s="62" t="str">
        <f>IF($J761=0,"",IF(INDEX('Прайс и заказ'!L:L,$J761)="","",INDEX('Прайс и заказ'!L:L,$J761)))</f>
      </c>
      <c r="I761" s="13" t="str">
        <f>IF($J761=0,"",IF(INDEX('Прайс и заказ'!M:M,$J761)="","",INDEX('Прайс и заказ'!M:M,$J761)))</f>
      </c>
      <c r="J761" t="str">
        <f>IFERROR(MATCH(753,'Прайс и заказ'!$N$7:$N$781,0)+6,0)</f>
      </c>
    </row>
    <row r="762" spans="1:11" customHeight="1" ht="40">
      <c r="A762" s="13" t="str">
        <f>IF($J762=0,"",IFERROR(_xlfn.IMAGE(INDEX('Прайс и заказ'!$O:$O,$J762)),""))</f>
      </c>
      <c r="B762" s="61" t="str">
        <f>IF($J762=0,"",IF(INDEX('Прайс и заказ'!B:B,$J762)="","",INDEX('Прайс и заказ'!B:B,$J762)))</f>
      </c>
      <c r="C762" s="64" t="str">
        <f>IF($J762=0,"",IF(INDEX('Прайс и заказ'!C:C,$J762)="","",INDEX('Прайс и заказ'!C:C,$J762)))</f>
      </c>
      <c r="D762" s="64" t="str">
        <f>IF($J762=0,"",IF(INDEX('Прайс и заказ'!D:D,$J762)="","",INDEX('Прайс и заказ'!D:D,$J762)))</f>
      </c>
      <c r="E762" s="61" t="str">
        <f>IF($J762=0,"",IF(INDEX('Прайс и заказ'!F:F,$J762)="","",INDEX('Прайс и заказ'!F:F,$J762)))</f>
      </c>
      <c r="F762" s="62" t="str">
        <f>IF($J762=0,"",IF(INDEX('Прайс и заказ'!I:I,$J762)="","",INDEX('Прайс и заказ'!I:I,$J762)))</f>
      </c>
      <c r="G762" s="63" t="str">
        <f>IF($J762=0,"",IF(INDEX('Прайс и заказ'!K:K,$J762)="","",INDEX('Прайс и заказ'!K:K,$J762)))</f>
      </c>
      <c r="H762" s="62" t="str">
        <f>IF($J762=0,"",IF(INDEX('Прайс и заказ'!L:L,$J762)="","",INDEX('Прайс и заказ'!L:L,$J762)))</f>
      </c>
      <c r="I762" s="13" t="str">
        <f>IF($J762=0,"",IF(INDEX('Прайс и заказ'!M:M,$J762)="","",INDEX('Прайс и заказ'!M:M,$J762)))</f>
      </c>
      <c r="J762" t="str">
        <f>IFERROR(MATCH(754,'Прайс и заказ'!$N$7:$N$781,0)+6,0)</f>
      </c>
    </row>
    <row r="763" spans="1:11" customHeight="1" ht="40">
      <c r="A763" s="13" t="str">
        <f>IF($J763=0,"",IFERROR(_xlfn.IMAGE(INDEX('Прайс и заказ'!$O:$O,$J763)),""))</f>
      </c>
      <c r="B763" s="61" t="str">
        <f>IF($J763=0,"",IF(INDEX('Прайс и заказ'!B:B,$J763)="","",INDEX('Прайс и заказ'!B:B,$J763)))</f>
      </c>
      <c r="C763" s="64" t="str">
        <f>IF($J763=0,"",IF(INDEX('Прайс и заказ'!C:C,$J763)="","",INDEX('Прайс и заказ'!C:C,$J763)))</f>
      </c>
      <c r="D763" s="64" t="str">
        <f>IF($J763=0,"",IF(INDEX('Прайс и заказ'!D:D,$J763)="","",INDEX('Прайс и заказ'!D:D,$J763)))</f>
      </c>
      <c r="E763" s="61" t="str">
        <f>IF($J763=0,"",IF(INDEX('Прайс и заказ'!F:F,$J763)="","",INDEX('Прайс и заказ'!F:F,$J763)))</f>
      </c>
      <c r="F763" s="62" t="str">
        <f>IF($J763=0,"",IF(INDEX('Прайс и заказ'!I:I,$J763)="","",INDEX('Прайс и заказ'!I:I,$J763)))</f>
      </c>
      <c r="G763" s="63" t="str">
        <f>IF($J763=0,"",IF(INDEX('Прайс и заказ'!K:K,$J763)="","",INDEX('Прайс и заказ'!K:K,$J763)))</f>
      </c>
      <c r="H763" s="62" t="str">
        <f>IF($J763=0,"",IF(INDEX('Прайс и заказ'!L:L,$J763)="","",INDEX('Прайс и заказ'!L:L,$J763)))</f>
      </c>
      <c r="I763" s="13" t="str">
        <f>IF($J763=0,"",IF(INDEX('Прайс и заказ'!M:M,$J763)="","",INDEX('Прайс и заказ'!M:M,$J763)))</f>
      </c>
      <c r="J763" t="str">
        <f>IFERROR(MATCH(755,'Прайс и заказ'!$N$7:$N$781,0)+6,0)</f>
      </c>
    </row>
    <row r="764" spans="1:11" customHeight="1" ht="40">
      <c r="A764" s="13" t="str">
        <f>IF($J764=0,"",IFERROR(_xlfn.IMAGE(INDEX('Прайс и заказ'!$O:$O,$J764)),""))</f>
      </c>
      <c r="B764" s="61" t="str">
        <f>IF($J764=0,"",IF(INDEX('Прайс и заказ'!B:B,$J764)="","",INDEX('Прайс и заказ'!B:B,$J764)))</f>
      </c>
      <c r="C764" s="64" t="str">
        <f>IF($J764=0,"",IF(INDEX('Прайс и заказ'!C:C,$J764)="","",INDEX('Прайс и заказ'!C:C,$J764)))</f>
      </c>
      <c r="D764" s="64" t="str">
        <f>IF($J764=0,"",IF(INDEX('Прайс и заказ'!D:D,$J764)="","",INDEX('Прайс и заказ'!D:D,$J764)))</f>
      </c>
      <c r="E764" s="61" t="str">
        <f>IF($J764=0,"",IF(INDEX('Прайс и заказ'!F:F,$J764)="","",INDEX('Прайс и заказ'!F:F,$J764)))</f>
      </c>
      <c r="F764" s="62" t="str">
        <f>IF($J764=0,"",IF(INDEX('Прайс и заказ'!I:I,$J764)="","",INDEX('Прайс и заказ'!I:I,$J764)))</f>
      </c>
      <c r="G764" s="63" t="str">
        <f>IF($J764=0,"",IF(INDEX('Прайс и заказ'!K:K,$J764)="","",INDEX('Прайс и заказ'!K:K,$J764)))</f>
      </c>
      <c r="H764" s="62" t="str">
        <f>IF($J764=0,"",IF(INDEX('Прайс и заказ'!L:L,$J764)="","",INDEX('Прайс и заказ'!L:L,$J764)))</f>
      </c>
      <c r="I764" s="13" t="str">
        <f>IF($J764=0,"",IF(INDEX('Прайс и заказ'!M:M,$J764)="","",INDEX('Прайс и заказ'!M:M,$J764)))</f>
      </c>
      <c r="J764" t="str">
        <f>IFERROR(MATCH(756,'Прайс и заказ'!$N$7:$N$781,0)+6,0)</f>
      </c>
    </row>
    <row r="765" spans="1:11" customHeight="1" ht="40">
      <c r="A765" s="13" t="str">
        <f>IF($J765=0,"",IFERROR(_xlfn.IMAGE(INDEX('Прайс и заказ'!$O:$O,$J765)),""))</f>
      </c>
      <c r="B765" s="61" t="str">
        <f>IF($J765=0,"",IF(INDEX('Прайс и заказ'!B:B,$J765)="","",INDEX('Прайс и заказ'!B:B,$J765)))</f>
      </c>
      <c r="C765" s="64" t="str">
        <f>IF($J765=0,"",IF(INDEX('Прайс и заказ'!C:C,$J765)="","",INDEX('Прайс и заказ'!C:C,$J765)))</f>
      </c>
      <c r="D765" s="64" t="str">
        <f>IF($J765=0,"",IF(INDEX('Прайс и заказ'!D:D,$J765)="","",INDEX('Прайс и заказ'!D:D,$J765)))</f>
      </c>
      <c r="E765" s="61" t="str">
        <f>IF($J765=0,"",IF(INDEX('Прайс и заказ'!F:F,$J765)="","",INDEX('Прайс и заказ'!F:F,$J765)))</f>
      </c>
      <c r="F765" s="62" t="str">
        <f>IF($J765=0,"",IF(INDEX('Прайс и заказ'!I:I,$J765)="","",INDEX('Прайс и заказ'!I:I,$J765)))</f>
      </c>
      <c r="G765" s="63" t="str">
        <f>IF($J765=0,"",IF(INDEX('Прайс и заказ'!K:K,$J765)="","",INDEX('Прайс и заказ'!K:K,$J765)))</f>
      </c>
      <c r="H765" s="62" t="str">
        <f>IF($J765=0,"",IF(INDEX('Прайс и заказ'!L:L,$J765)="","",INDEX('Прайс и заказ'!L:L,$J765)))</f>
      </c>
      <c r="I765" s="13" t="str">
        <f>IF($J765=0,"",IF(INDEX('Прайс и заказ'!M:M,$J765)="","",INDEX('Прайс и заказ'!M:M,$J765)))</f>
      </c>
      <c r="J765" t="str">
        <f>IFERROR(MATCH(757,'Прайс и заказ'!$N$7:$N$781,0)+6,0)</f>
      </c>
    </row>
    <row r="766" spans="1:11" customHeight="1" ht="40">
      <c r="A766" s="13" t="str">
        <f>IF($J766=0,"",IFERROR(_xlfn.IMAGE(INDEX('Прайс и заказ'!$O:$O,$J766)),""))</f>
      </c>
      <c r="B766" s="61" t="str">
        <f>IF($J766=0,"",IF(INDEX('Прайс и заказ'!B:B,$J766)="","",INDEX('Прайс и заказ'!B:B,$J766)))</f>
      </c>
      <c r="C766" s="64" t="str">
        <f>IF($J766=0,"",IF(INDEX('Прайс и заказ'!C:C,$J766)="","",INDEX('Прайс и заказ'!C:C,$J766)))</f>
      </c>
      <c r="D766" s="64" t="str">
        <f>IF($J766=0,"",IF(INDEX('Прайс и заказ'!D:D,$J766)="","",INDEX('Прайс и заказ'!D:D,$J766)))</f>
      </c>
      <c r="E766" s="61" t="str">
        <f>IF($J766=0,"",IF(INDEX('Прайс и заказ'!F:F,$J766)="","",INDEX('Прайс и заказ'!F:F,$J766)))</f>
      </c>
      <c r="F766" s="62" t="str">
        <f>IF($J766=0,"",IF(INDEX('Прайс и заказ'!I:I,$J766)="","",INDEX('Прайс и заказ'!I:I,$J766)))</f>
      </c>
      <c r="G766" s="63" t="str">
        <f>IF($J766=0,"",IF(INDEX('Прайс и заказ'!K:K,$J766)="","",INDEX('Прайс и заказ'!K:K,$J766)))</f>
      </c>
      <c r="H766" s="62" t="str">
        <f>IF($J766=0,"",IF(INDEX('Прайс и заказ'!L:L,$J766)="","",INDEX('Прайс и заказ'!L:L,$J766)))</f>
      </c>
      <c r="I766" s="13" t="str">
        <f>IF($J766=0,"",IF(INDEX('Прайс и заказ'!M:M,$J766)="","",INDEX('Прайс и заказ'!M:M,$J766)))</f>
      </c>
      <c r="J766" t="str">
        <f>IFERROR(MATCH(758,'Прайс и заказ'!$N$7:$N$781,0)+6,0)</f>
      </c>
    </row>
    <row r="767" spans="1:11" customHeight="1" ht="40">
      <c r="A767" s="13" t="str">
        <f>IF($J767=0,"",IFERROR(_xlfn.IMAGE(INDEX('Прайс и заказ'!$O:$O,$J767)),""))</f>
      </c>
      <c r="B767" s="61" t="str">
        <f>IF($J767=0,"",IF(INDEX('Прайс и заказ'!B:B,$J767)="","",INDEX('Прайс и заказ'!B:B,$J767)))</f>
      </c>
      <c r="C767" s="64" t="str">
        <f>IF($J767=0,"",IF(INDEX('Прайс и заказ'!C:C,$J767)="","",INDEX('Прайс и заказ'!C:C,$J767)))</f>
      </c>
      <c r="D767" s="64" t="str">
        <f>IF($J767=0,"",IF(INDEX('Прайс и заказ'!D:D,$J767)="","",INDEX('Прайс и заказ'!D:D,$J767)))</f>
      </c>
      <c r="E767" s="61" t="str">
        <f>IF($J767=0,"",IF(INDEX('Прайс и заказ'!F:F,$J767)="","",INDEX('Прайс и заказ'!F:F,$J767)))</f>
      </c>
      <c r="F767" s="62" t="str">
        <f>IF($J767=0,"",IF(INDEX('Прайс и заказ'!I:I,$J767)="","",INDEX('Прайс и заказ'!I:I,$J767)))</f>
      </c>
      <c r="G767" s="63" t="str">
        <f>IF($J767=0,"",IF(INDEX('Прайс и заказ'!K:K,$J767)="","",INDEX('Прайс и заказ'!K:K,$J767)))</f>
      </c>
      <c r="H767" s="62" t="str">
        <f>IF($J767=0,"",IF(INDEX('Прайс и заказ'!L:L,$J767)="","",INDEX('Прайс и заказ'!L:L,$J767)))</f>
      </c>
      <c r="I767" s="13" t="str">
        <f>IF($J767=0,"",IF(INDEX('Прайс и заказ'!M:M,$J767)="","",INDEX('Прайс и заказ'!M:M,$J767)))</f>
      </c>
      <c r="J767" t="str">
        <f>IFERROR(MATCH(759,'Прайс и заказ'!$N$7:$N$781,0)+6,0)</f>
      </c>
    </row>
    <row r="768" spans="1:11" customHeight="1" ht="40">
      <c r="A768" s="13" t="str">
        <f>IF($J768=0,"",IFERROR(_xlfn.IMAGE(INDEX('Прайс и заказ'!$O:$O,$J768)),""))</f>
      </c>
      <c r="B768" s="61" t="str">
        <f>IF($J768=0,"",IF(INDEX('Прайс и заказ'!B:B,$J768)="","",INDEX('Прайс и заказ'!B:B,$J768)))</f>
      </c>
      <c r="C768" s="64" t="str">
        <f>IF($J768=0,"",IF(INDEX('Прайс и заказ'!C:C,$J768)="","",INDEX('Прайс и заказ'!C:C,$J768)))</f>
      </c>
      <c r="D768" s="64" t="str">
        <f>IF($J768=0,"",IF(INDEX('Прайс и заказ'!D:D,$J768)="","",INDEX('Прайс и заказ'!D:D,$J768)))</f>
      </c>
      <c r="E768" s="61" t="str">
        <f>IF($J768=0,"",IF(INDEX('Прайс и заказ'!F:F,$J768)="","",INDEX('Прайс и заказ'!F:F,$J768)))</f>
      </c>
      <c r="F768" s="62" t="str">
        <f>IF($J768=0,"",IF(INDEX('Прайс и заказ'!I:I,$J768)="","",INDEX('Прайс и заказ'!I:I,$J768)))</f>
      </c>
      <c r="G768" s="63" t="str">
        <f>IF($J768=0,"",IF(INDEX('Прайс и заказ'!K:K,$J768)="","",INDEX('Прайс и заказ'!K:K,$J768)))</f>
      </c>
      <c r="H768" s="62" t="str">
        <f>IF($J768=0,"",IF(INDEX('Прайс и заказ'!L:L,$J768)="","",INDEX('Прайс и заказ'!L:L,$J768)))</f>
      </c>
      <c r="I768" s="13" t="str">
        <f>IF($J768=0,"",IF(INDEX('Прайс и заказ'!M:M,$J768)="","",INDEX('Прайс и заказ'!M:M,$J768)))</f>
      </c>
      <c r="J768" t="str">
        <f>IFERROR(MATCH(760,'Прайс и заказ'!$N$7:$N$781,0)+6,0)</f>
      </c>
    </row>
    <row r="769" spans="1:11" customHeight="1" ht="40">
      <c r="A769" s="13" t="str">
        <f>IF($J769=0,"",IFERROR(_xlfn.IMAGE(INDEX('Прайс и заказ'!$O:$O,$J769)),""))</f>
      </c>
      <c r="B769" s="61" t="str">
        <f>IF($J769=0,"",IF(INDEX('Прайс и заказ'!B:B,$J769)="","",INDEX('Прайс и заказ'!B:B,$J769)))</f>
      </c>
      <c r="C769" s="64" t="str">
        <f>IF($J769=0,"",IF(INDEX('Прайс и заказ'!C:C,$J769)="","",INDEX('Прайс и заказ'!C:C,$J769)))</f>
      </c>
      <c r="D769" s="64" t="str">
        <f>IF($J769=0,"",IF(INDEX('Прайс и заказ'!D:D,$J769)="","",INDEX('Прайс и заказ'!D:D,$J769)))</f>
      </c>
      <c r="E769" s="61" t="str">
        <f>IF($J769=0,"",IF(INDEX('Прайс и заказ'!F:F,$J769)="","",INDEX('Прайс и заказ'!F:F,$J769)))</f>
      </c>
      <c r="F769" s="62" t="str">
        <f>IF($J769=0,"",IF(INDEX('Прайс и заказ'!I:I,$J769)="","",INDEX('Прайс и заказ'!I:I,$J769)))</f>
      </c>
      <c r="G769" s="63" t="str">
        <f>IF($J769=0,"",IF(INDEX('Прайс и заказ'!K:K,$J769)="","",INDEX('Прайс и заказ'!K:K,$J769)))</f>
      </c>
      <c r="H769" s="62" t="str">
        <f>IF($J769=0,"",IF(INDEX('Прайс и заказ'!L:L,$J769)="","",INDEX('Прайс и заказ'!L:L,$J769)))</f>
      </c>
      <c r="I769" s="13" t="str">
        <f>IF($J769=0,"",IF(INDEX('Прайс и заказ'!M:M,$J769)="","",INDEX('Прайс и заказ'!M:M,$J769)))</f>
      </c>
      <c r="J769" t="str">
        <f>IFERROR(MATCH(761,'Прайс и заказ'!$N$7:$N$781,0)+6,0)</f>
      </c>
    </row>
    <row r="770" spans="1:11" customHeight="1" ht="40">
      <c r="A770" s="13" t="str">
        <f>IF($J770=0,"",IFERROR(_xlfn.IMAGE(INDEX('Прайс и заказ'!$O:$O,$J770)),""))</f>
      </c>
      <c r="B770" s="61" t="str">
        <f>IF($J770=0,"",IF(INDEX('Прайс и заказ'!B:B,$J770)="","",INDEX('Прайс и заказ'!B:B,$J770)))</f>
      </c>
      <c r="C770" s="64" t="str">
        <f>IF($J770=0,"",IF(INDEX('Прайс и заказ'!C:C,$J770)="","",INDEX('Прайс и заказ'!C:C,$J770)))</f>
      </c>
      <c r="D770" s="64" t="str">
        <f>IF($J770=0,"",IF(INDEX('Прайс и заказ'!D:D,$J770)="","",INDEX('Прайс и заказ'!D:D,$J770)))</f>
      </c>
      <c r="E770" s="61" t="str">
        <f>IF($J770=0,"",IF(INDEX('Прайс и заказ'!F:F,$J770)="","",INDEX('Прайс и заказ'!F:F,$J770)))</f>
      </c>
      <c r="F770" s="62" t="str">
        <f>IF($J770=0,"",IF(INDEX('Прайс и заказ'!I:I,$J770)="","",INDEX('Прайс и заказ'!I:I,$J770)))</f>
      </c>
      <c r="G770" s="63" t="str">
        <f>IF($J770=0,"",IF(INDEX('Прайс и заказ'!K:K,$J770)="","",INDEX('Прайс и заказ'!K:K,$J770)))</f>
      </c>
      <c r="H770" s="62" t="str">
        <f>IF($J770=0,"",IF(INDEX('Прайс и заказ'!L:L,$J770)="","",INDEX('Прайс и заказ'!L:L,$J770)))</f>
      </c>
      <c r="I770" s="13" t="str">
        <f>IF($J770=0,"",IF(INDEX('Прайс и заказ'!M:M,$J770)="","",INDEX('Прайс и заказ'!M:M,$J770)))</f>
      </c>
      <c r="J770" t="str">
        <f>IFERROR(MATCH(762,'Прайс и заказ'!$N$7:$N$781,0)+6,0)</f>
      </c>
    </row>
    <row r="771" spans="1:11" customHeight="1" ht="40">
      <c r="A771" s="13" t="str">
        <f>IF($J771=0,"",IFERROR(_xlfn.IMAGE(INDEX('Прайс и заказ'!$O:$O,$J771)),""))</f>
      </c>
      <c r="B771" s="61" t="str">
        <f>IF($J771=0,"",IF(INDEX('Прайс и заказ'!B:B,$J771)="","",INDEX('Прайс и заказ'!B:B,$J771)))</f>
      </c>
      <c r="C771" s="64" t="str">
        <f>IF($J771=0,"",IF(INDEX('Прайс и заказ'!C:C,$J771)="","",INDEX('Прайс и заказ'!C:C,$J771)))</f>
      </c>
      <c r="D771" s="64" t="str">
        <f>IF($J771=0,"",IF(INDEX('Прайс и заказ'!D:D,$J771)="","",INDEX('Прайс и заказ'!D:D,$J771)))</f>
      </c>
      <c r="E771" s="61" t="str">
        <f>IF($J771=0,"",IF(INDEX('Прайс и заказ'!F:F,$J771)="","",INDEX('Прайс и заказ'!F:F,$J771)))</f>
      </c>
      <c r="F771" s="62" t="str">
        <f>IF($J771=0,"",IF(INDEX('Прайс и заказ'!I:I,$J771)="","",INDEX('Прайс и заказ'!I:I,$J771)))</f>
      </c>
      <c r="G771" s="63" t="str">
        <f>IF($J771=0,"",IF(INDEX('Прайс и заказ'!K:K,$J771)="","",INDEX('Прайс и заказ'!K:K,$J771)))</f>
      </c>
      <c r="H771" s="62" t="str">
        <f>IF($J771=0,"",IF(INDEX('Прайс и заказ'!L:L,$J771)="","",INDEX('Прайс и заказ'!L:L,$J771)))</f>
      </c>
      <c r="I771" s="13" t="str">
        <f>IF($J771=0,"",IF(INDEX('Прайс и заказ'!M:M,$J771)="","",INDEX('Прайс и заказ'!M:M,$J771)))</f>
      </c>
      <c r="J771" t="str">
        <f>IFERROR(MATCH(763,'Прайс и заказ'!$N$7:$N$781,0)+6,0)</f>
      </c>
    </row>
    <row r="772" spans="1:11" customHeight="1" ht="40">
      <c r="A772" s="13" t="str">
        <f>IF($J772=0,"",IFERROR(_xlfn.IMAGE(INDEX('Прайс и заказ'!$O:$O,$J772)),""))</f>
      </c>
      <c r="B772" s="61" t="str">
        <f>IF($J772=0,"",IF(INDEX('Прайс и заказ'!B:B,$J772)="","",INDEX('Прайс и заказ'!B:B,$J772)))</f>
      </c>
      <c r="C772" s="64" t="str">
        <f>IF($J772=0,"",IF(INDEX('Прайс и заказ'!C:C,$J772)="","",INDEX('Прайс и заказ'!C:C,$J772)))</f>
      </c>
      <c r="D772" s="64" t="str">
        <f>IF($J772=0,"",IF(INDEX('Прайс и заказ'!D:D,$J772)="","",INDEX('Прайс и заказ'!D:D,$J772)))</f>
      </c>
      <c r="E772" s="61" t="str">
        <f>IF($J772=0,"",IF(INDEX('Прайс и заказ'!F:F,$J772)="","",INDEX('Прайс и заказ'!F:F,$J772)))</f>
      </c>
      <c r="F772" s="62" t="str">
        <f>IF($J772=0,"",IF(INDEX('Прайс и заказ'!I:I,$J772)="","",INDEX('Прайс и заказ'!I:I,$J772)))</f>
      </c>
      <c r="G772" s="63" t="str">
        <f>IF($J772=0,"",IF(INDEX('Прайс и заказ'!K:K,$J772)="","",INDEX('Прайс и заказ'!K:K,$J772)))</f>
      </c>
      <c r="H772" s="62" t="str">
        <f>IF($J772=0,"",IF(INDEX('Прайс и заказ'!L:L,$J772)="","",INDEX('Прайс и заказ'!L:L,$J772)))</f>
      </c>
      <c r="I772" s="13" t="str">
        <f>IF($J772=0,"",IF(INDEX('Прайс и заказ'!M:M,$J772)="","",INDEX('Прайс и заказ'!M:M,$J772)))</f>
      </c>
      <c r="J772" t="str">
        <f>IFERROR(MATCH(764,'Прайс и заказ'!$N$7:$N$781,0)+6,0)</f>
      </c>
    </row>
    <row r="773" spans="1:11" customHeight="1" ht="40">
      <c r="A773" s="13" t="str">
        <f>IF($J773=0,"",IFERROR(_xlfn.IMAGE(INDEX('Прайс и заказ'!$O:$O,$J773)),""))</f>
      </c>
      <c r="B773" s="61" t="str">
        <f>IF($J773=0,"",IF(INDEX('Прайс и заказ'!B:B,$J773)="","",INDEX('Прайс и заказ'!B:B,$J773)))</f>
      </c>
      <c r="C773" s="64" t="str">
        <f>IF($J773=0,"",IF(INDEX('Прайс и заказ'!C:C,$J773)="","",INDEX('Прайс и заказ'!C:C,$J773)))</f>
      </c>
      <c r="D773" s="64" t="str">
        <f>IF($J773=0,"",IF(INDEX('Прайс и заказ'!D:D,$J773)="","",INDEX('Прайс и заказ'!D:D,$J773)))</f>
      </c>
      <c r="E773" s="61" t="str">
        <f>IF($J773=0,"",IF(INDEX('Прайс и заказ'!F:F,$J773)="","",INDEX('Прайс и заказ'!F:F,$J773)))</f>
      </c>
      <c r="F773" s="62" t="str">
        <f>IF($J773=0,"",IF(INDEX('Прайс и заказ'!I:I,$J773)="","",INDEX('Прайс и заказ'!I:I,$J773)))</f>
      </c>
      <c r="G773" s="63" t="str">
        <f>IF($J773=0,"",IF(INDEX('Прайс и заказ'!K:K,$J773)="","",INDEX('Прайс и заказ'!K:K,$J773)))</f>
      </c>
      <c r="H773" s="62" t="str">
        <f>IF($J773=0,"",IF(INDEX('Прайс и заказ'!L:L,$J773)="","",INDEX('Прайс и заказ'!L:L,$J773)))</f>
      </c>
      <c r="I773" s="13" t="str">
        <f>IF($J773=0,"",IF(INDEX('Прайс и заказ'!M:M,$J773)="","",INDEX('Прайс и заказ'!M:M,$J773)))</f>
      </c>
      <c r="J773" t="str">
        <f>IFERROR(MATCH(765,'Прайс и заказ'!$N$7:$N$781,0)+6,0)</f>
      </c>
    </row>
    <row r="774" spans="1:11" customHeight="1" ht="40">
      <c r="A774" s="13" t="str">
        <f>IF($J774=0,"",IFERROR(_xlfn.IMAGE(INDEX('Прайс и заказ'!$O:$O,$J774)),""))</f>
      </c>
      <c r="B774" s="61" t="str">
        <f>IF($J774=0,"",IF(INDEX('Прайс и заказ'!B:B,$J774)="","",INDEX('Прайс и заказ'!B:B,$J774)))</f>
      </c>
      <c r="C774" s="64" t="str">
        <f>IF($J774=0,"",IF(INDEX('Прайс и заказ'!C:C,$J774)="","",INDEX('Прайс и заказ'!C:C,$J774)))</f>
      </c>
      <c r="D774" s="64" t="str">
        <f>IF($J774=0,"",IF(INDEX('Прайс и заказ'!D:D,$J774)="","",INDEX('Прайс и заказ'!D:D,$J774)))</f>
      </c>
      <c r="E774" s="61" t="str">
        <f>IF($J774=0,"",IF(INDEX('Прайс и заказ'!F:F,$J774)="","",INDEX('Прайс и заказ'!F:F,$J774)))</f>
      </c>
      <c r="F774" s="62" t="str">
        <f>IF($J774=0,"",IF(INDEX('Прайс и заказ'!I:I,$J774)="","",INDEX('Прайс и заказ'!I:I,$J774)))</f>
      </c>
      <c r="G774" s="63" t="str">
        <f>IF($J774=0,"",IF(INDEX('Прайс и заказ'!K:K,$J774)="","",INDEX('Прайс и заказ'!K:K,$J774)))</f>
      </c>
      <c r="H774" s="62" t="str">
        <f>IF($J774=0,"",IF(INDEX('Прайс и заказ'!L:L,$J774)="","",INDEX('Прайс и заказ'!L:L,$J774)))</f>
      </c>
      <c r="I774" s="13" t="str">
        <f>IF($J774=0,"",IF(INDEX('Прайс и заказ'!M:M,$J774)="","",INDEX('Прайс и заказ'!M:M,$J774)))</f>
      </c>
      <c r="J774" t="str">
        <f>IFERROR(MATCH(766,'Прайс и заказ'!$N$7:$N$781,0)+6,0)</f>
      </c>
    </row>
    <row r="775" spans="1:11" customHeight="1" ht="40">
      <c r="A775" s="13" t="str">
        <f>IF($J775=0,"",IFERROR(_xlfn.IMAGE(INDEX('Прайс и заказ'!$O:$O,$J775)),""))</f>
      </c>
      <c r="B775" s="61" t="str">
        <f>IF($J775=0,"",IF(INDEX('Прайс и заказ'!B:B,$J775)="","",INDEX('Прайс и заказ'!B:B,$J775)))</f>
      </c>
      <c r="C775" s="64" t="str">
        <f>IF($J775=0,"",IF(INDEX('Прайс и заказ'!C:C,$J775)="","",INDEX('Прайс и заказ'!C:C,$J775)))</f>
      </c>
      <c r="D775" s="64" t="str">
        <f>IF($J775=0,"",IF(INDEX('Прайс и заказ'!D:D,$J775)="","",INDEX('Прайс и заказ'!D:D,$J775)))</f>
      </c>
      <c r="E775" s="61" t="str">
        <f>IF($J775=0,"",IF(INDEX('Прайс и заказ'!F:F,$J775)="","",INDEX('Прайс и заказ'!F:F,$J775)))</f>
      </c>
      <c r="F775" s="62" t="str">
        <f>IF($J775=0,"",IF(INDEX('Прайс и заказ'!I:I,$J775)="","",INDEX('Прайс и заказ'!I:I,$J775)))</f>
      </c>
      <c r="G775" s="63" t="str">
        <f>IF($J775=0,"",IF(INDEX('Прайс и заказ'!K:K,$J775)="","",INDEX('Прайс и заказ'!K:K,$J775)))</f>
      </c>
      <c r="H775" s="62" t="str">
        <f>IF($J775=0,"",IF(INDEX('Прайс и заказ'!L:L,$J775)="","",INDEX('Прайс и заказ'!L:L,$J775)))</f>
      </c>
      <c r="I775" s="13" t="str">
        <f>IF($J775=0,"",IF(INDEX('Прайс и заказ'!M:M,$J775)="","",INDEX('Прайс и заказ'!M:M,$J775)))</f>
      </c>
      <c r="J775" t="str">
        <f>IFERROR(MATCH(767,'Прайс и заказ'!$N$7:$N$781,0)+6,0)</f>
      </c>
    </row>
    <row r="776" spans="1:11" customHeight="1" ht="40">
      <c r="A776" s="13" t="str">
        <f>IF($J776=0,"",IFERROR(_xlfn.IMAGE(INDEX('Прайс и заказ'!$O:$O,$J776)),""))</f>
      </c>
      <c r="B776" s="61" t="str">
        <f>IF($J776=0,"",IF(INDEX('Прайс и заказ'!B:B,$J776)="","",INDEX('Прайс и заказ'!B:B,$J776)))</f>
      </c>
      <c r="C776" s="64" t="str">
        <f>IF($J776=0,"",IF(INDEX('Прайс и заказ'!C:C,$J776)="","",INDEX('Прайс и заказ'!C:C,$J776)))</f>
      </c>
      <c r="D776" s="64" t="str">
        <f>IF($J776=0,"",IF(INDEX('Прайс и заказ'!D:D,$J776)="","",INDEX('Прайс и заказ'!D:D,$J776)))</f>
      </c>
      <c r="E776" s="61" t="str">
        <f>IF($J776=0,"",IF(INDEX('Прайс и заказ'!F:F,$J776)="","",INDEX('Прайс и заказ'!F:F,$J776)))</f>
      </c>
      <c r="F776" s="62" t="str">
        <f>IF($J776=0,"",IF(INDEX('Прайс и заказ'!I:I,$J776)="","",INDEX('Прайс и заказ'!I:I,$J776)))</f>
      </c>
      <c r="G776" s="63" t="str">
        <f>IF($J776=0,"",IF(INDEX('Прайс и заказ'!K:K,$J776)="","",INDEX('Прайс и заказ'!K:K,$J776)))</f>
      </c>
      <c r="H776" s="62" t="str">
        <f>IF($J776=0,"",IF(INDEX('Прайс и заказ'!L:L,$J776)="","",INDEX('Прайс и заказ'!L:L,$J776)))</f>
      </c>
      <c r="I776" s="13" t="str">
        <f>IF($J776=0,"",IF(INDEX('Прайс и заказ'!M:M,$J776)="","",INDEX('Прайс и заказ'!M:M,$J776)))</f>
      </c>
      <c r="J776" t="str">
        <f>IFERROR(MATCH(768,'Прайс и заказ'!$N$7:$N$781,0)+6,0)</f>
      </c>
    </row>
    <row r="777" spans="1:11" customHeight="1" ht="40">
      <c r="A777" s="13" t="str">
        <f>IF($J777=0,"",IFERROR(_xlfn.IMAGE(INDEX('Прайс и заказ'!$O:$O,$J777)),""))</f>
      </c>
      <c r="B777" s="61" t="str">
        <f>IF($J777=0,"",IF(INDEX('Прайс и заказ'!B:B,$J777)="","",INDEX('Прайс и заказ'!B:B,$J777)))</f>
      </c>
      <c r="C777" s="64" t="str">
        <f>IF($J777=0,"",IF(INDEX('Прайс и заказ'!C:C,$J777)="","",INDEX('Прайс и заказ'!C:C,$J777)))</f>
      </c>
      <c r="D777" s="64" t="str">
        <f>IF($J777=0,"",IF(INDEX('Прайс и заказ'!D:D,$J777)="","",INDEX('Прайс и заказ'!D:D,$J777)))</f>
      </c>
      <c r="E777" s="61" t="str">
        <f>IF($J777=0,"",IF(INDEX('Прайс и заказ'!F:F,$J777)="","",INDEX('Прайс и заказ'!F:F,$J777)))</f>
      </c>
      <c r="F777" s="62" t="str">
        <f>IF($J777=0,"",IF(INDEX('Прайс и заказ'!I:I,$J777)="","",INDEX('Прайс и заказ'!I:I,$J777)))</f>
      </c>
      <c r="G777" s="63" t="str">
        <f>IF($J777=0,"",IF(INDEX('Прайс и заказ'!K:K,$J777)="","",INDEX('Прайс и заказ'!K:K,$J777)))</f>
      </c>
      <c r="H777" s="62" t="str">
        <f>IF($J777=0,"",IF(INDEX('Прайс и заказ'!L:L,$J777)="","",INDEX('Прайс и заказ'!L:L,$J777)))</f>
      </c>
      <c r="I777" s="13" t="str">
        <f>IF($J777=0,"",IF(INDEX('Прайс и заказ'!M:M,$J777)="","",INDEX('Прайс и заказ'!M:M,$J777)))</f>
      </c>
      <c r="J777" t="str">
        <f>IFERROR(MATCH(769,'Прайс и заказ'!$N$7:$N$781,0)+6,0)</f>
      </c>
    </row>
    <row r="778" spans="1:11" customHeight="1" ht="40">
      <c r="A778" s="13" t="str">
        <f>IF($J778=0,"",IFERROR(_xlfn.IMAGE(INDEX('Прайс и заказ'!$O:$O,$J778)),""))</f>
      </c>
      <c r="B778" s="61" t="str">
        <f>IF($J778=0,"",IF(INDEX('Прайс и заказ'!B:B,$J778)="","",INDEX('Прайс и заказ'!B:B,$J778)))</f>
      </c>
      <c r="C778" s="64" t="str">
        <f>IF($J778=0,"",IF(INDEX('Прайс и заказ'!C:C,$J778)="","",INDEX('Прайс и заказ'!C:C,$J778)))</f>
      </c>
      <c r="D778" s="64" t="str">
        <f>IF($J778=0,"",IF(INDEX('Прайс и заказ'!D:D,$J778)="","",INDEX('Прайс и заказ'!D:D,$J778)))</f>
      </c>
      <c r="E778" s="61" t="str">
        <f>IF($J778=0,"",IF(INDEX('Прайс и заказ'!F:F,$J778)="","",INDEX('Прайс и заказ'!F:F,$J778)))</f>
      </c>
      <c r="F778" s="62" t="str">
        <f>IF($J778=0,"",IF(INDEX('Прайс и заказ'!I:I,$J778)="","",INDEX('Прайс и заказ'!I:I,$J778)))</f>
      </c>
      <c r="G778" s="63" t="str">
        <f>IF($J778=0,"",IF(INDEX('Прайс и заказ'!K:K,$J778)="","",INDEX('Прайс и заказ'!K:K,$J778)))</f>
      </c>
      <c r="H778" s="62" t="str">
        <f>IF($J778=0,"",IF(INDEX('Прайс и заказ'!L:L,$J778)="","",INDEX('Прайс и заказ'!L:L,$J778)))</f>
      </c>
      <c r="I778" s="13" t="str">
        <f>IF($J778=0,"",IF(INDEX('Прайс и заказ'!M:M,$J778)="","",INDEX('Прайс и заказ'!M:M,$J778)))</f>
      </c>
      <c r="J778" t="str">
        <f>IFERROR(MATCH(770,'Прайс и заказ'!$N$7:$N$781,0)+6,0)</f>
      </c>
    </row>
    <row r="779" spans="1:11" customHeight="1" ht="40">
      <c r="A779" s="13" t="str">
        <f>IF($J779=0,"",IFERROR(_xlfn.IMAGE(INDEX('Прайс и заказ'!$O:$O,$J779)),""))</f>
      </c>
      <c r="B779" s="61" t="str">
        <f>IF($J779=0,"",IF(INDEX('Прайс и заказ'!B:B,$J779)="","",INDEX('Прайс и заказ'!B:B,$J779)))</f>
      </c>
      <c r="C779" s="64" t="str">
        <f>IF($J779=0,"",IF(INDEX('Прайс и заказ'!C:C,$J779)="","",INDEX('Прайс и заказ'!C:C,$J779)))</f>
      </c>
      <c r="D779" s="64" t="str">
        <f>IF($J779=0,"",IF(INDEX('Прайс и заказ'!D:D,$J779)="","",INDEX('Прайс и заказ'!D:D,$J779)))</f>
      </c>
      <c r="E779" s="61" t="str">
        <f>IF($J779=0,"",IF(INDEX('Прайс и заказ'!F:F,$J779)="","",INDEX('Прайс и заказ'!F:F,$J779)))</f>
      </c>
      <c r="F779" s="62" t="str">
        <f>IF($J779=0,"",IF(INDEX('Прайс и заказ'!I:I,$J779)="","",INDEX('Прайс и заказ'!I:I,$J779)))</f>
      </c>
      <c r="G779" s="63" t="str">
        <f>IF($J779=0,"",IF(INDEX('Прайс и заказ'!K:K,$J779)="","",INDEX('Прайс и заказ'!K:K,$J779)))</f>
      </c>
      <c r="H779" s="62" t="str">
        <f>IF($J779=0,"",IF(INDEX('Прайс и заказ'!L:L,$J779)="","",INDEX('Прайс и заказ'!L:L,$J779)))</f>
      </c>
      <c r="I779" s="13" t="str">
        <f>IF($J779=0,"",IF(INDEX('Прайс и заказ'!M:M,$J779)="","",INDEX('Прайс и заказ'!M:M,$J779)))</f>
      </c>
      <c r="J779" t="str">
        <f>IFERROR(MATCH(771,'Прайс и заказ'!$N$7:$N$781,0)+6,0)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779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 и заказ</vt:lpstr>
      <vt:lpstr>Ваш заказ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2026-09-22T15:17:03+04:00</dcterms:created>
  <dcterms:modified xsi:type="dcterms:W3CDTF">2026-09-22T15:17:03+04:00</dcterms:modified>
  <dc:title>Прайс-лист LavrPack — Пленка</dc:title>
  <dc:description>Сформировано на www.test.lavrpack.ru 22.09.2026 15:17</dc:description>
  <dc:subject/>
  <cp:keywords/>
  <cp:category/>
</cp:coreProperties>
</file>